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9420" windowHeight="4092" activeTab="2"/>
  </bookViews>
  <sheets>
    <sheet name="kich thuoc" sheetId="1" r:id="rId1"/>
    <sheet name="Dam thep han" sheetId="2" r:id="rId2"/>
    <sheet name="Lien hop" sheetId="3" r:id="rId3"/>
  </sheets>
  <externalReferences>
    <externalReference r:id="rId6"/>
  </externalReferences>
  <definedNames>
    <definedName name="a">'kich thuoc'!$D$38</definedName>
    <definedName name="a1n">'kich thuoc'!#REF!</definedName>
    <definedName name="a2n">'kich thuoc'!#REF!</definedName>
    <definedName name="ao">'kich thuoc'!#REF!</definedName>
    <definedName name="b">'Lien hop'!$C$11</definedName>
    <definedName name="b1d">'kich thuoc'!$D$22</definedName>
    <definedName name="b1t">'kich thuoc'!$D$11</definedName>
    <definedName name="b2d">'kich thuoc'!$D$26</definedName>
    <definedName name="b2t">'kich thuoc'!$D$14</definedName>
    <definedName name="b3d">'kich thuoc'!$D$30</definedName>
    <definedName name="b3t">'kich thuoc'!$D$17</definedName>
    <definedName name="bc">'Dam thep han'!#REF!</definedName>
    <definedName name="bv">'kich thuoc'!$D$42</definedName>
    <definedName name="cp">'Lien hop'!$D$29</definedName>
    <definedName name="d">'kich thuoc'!$D$20</definedName>
    <definedName name="dhinh">'Dam thep han'!#REF!</definedName>
    <definedName name="Fb">'Dam thep han'!$F$21</definedName>
    <definedName name="Fbr">#REF!</definedName>
    <definedName name="Fbt">'Lien hop'!$E$34</definedName>
    <definedName name="Fbtan">#REF!</definedName>
    <definedName name="Fd">'Dam thep han'!$F$18</definedName>
    <definedName name="Fdtan">#REF!</definedName>
    <definedName name="Fg">#REF!</definedName>
    <definedName name="Fhan">'Dam thep han'!$F$25</definedName>
    <definedName name="Fhinh">'Dam thep han'!#REF!</definedName>
    <definedName name="fi">'kich thuoc'!#REF!</definedName>
    <definedName name="Fnet">#REF!</definedName>
    <definedName name="Ftd">'Lien hop'!$E$53</definedName>
    <definedName name="Ftd_co">'Lien hop'!$E$91</definedName>
    <definedName name="Fth">'Lien hop'!$E$11</definedName>
    <definedName name="Ftr">'Dam thep han'!$F$15</definedName>
    <definedName name="Ftrtan">#REF!</definedName>
    <definedName name="Fy">#REF!</definedName>
    <definedName name="Fyb">#REF!</definedName>
    <definedName name="Fyd">#REF!</definedName>
    <definedName name="Fyg">#REF!</definedName>
    <definedName name="Fyt">#REF!</definedName>
    <definedName name="hb">#REF!</definedName>
    <definedName name="hc">'kich thuoc'!$D$40</definedName>
    <definedName name="Hh">'Dam thep han'!$F$13</definedName>
    <definedName name="Hhinh">'Dam thep han'!#REF!</definedName>
    <definedName name="hk">'kich thuoc'!$D$39</definedName>
    <definedName name="ho">'kich thuoc'!$D$19</definedName>
    <definedName name="Ht">#REF!</definedName>
    <definedName name="Hth">'Lien hop'!$B$11</definedName>
    <definedName name="hv">'kich thuoc'!$D$41</definedName>
    <definedName name="Jb">'Dam thep han'!$E$40</definedName>
    <definedName name="Jbrt">#REF!</definedName>
    <definedName name="Jbt">'Lien hop'!$E$64</definedName>
    <definedName name="Jd">'Dam thep han'!$G$36</definedName>
    <definedName name="Jg">#REF!</definedName>
    <definedName name="Jhan">'Dam thep han'!$E$49</definedName>
    <definedName name="Jhinh">'Dam thep han'!#REF!</definedName>
    <definedName name="Jnet">#REF!</definedName>
    <definedName name="Jtd">'Lien hop'!$E$68</definedName>
    <definedName name="Jtd_co">'Lien hop'!$F$109</definedName>
    <definedName name="Jth">'Lien hop'!$F$11</definedName>
    <definedName name="Jtr">'Dam thep han'!$C$36</definedName>
    <definedName name="Jyhinh">'Dam thep han'!#REF!</definedName>
    <definedName name="kp">'Lien hop'!$D$27</definedName>
    <definedName name="l1d">'kich thuoc'!$D$24</definedName>
    <definedName name="l2d">'kich thuoc'!$D$28</definedName>
    <definedName name="l3d">'kich thuoc'!$D$32</definedName>
    <definedName name="lk">'kich thuoc'!$D$37</definedName>
    <definedName name="M">'kich thuoc'!$D$36</definedName>
    <definedName name="MuyBulong">#REF!</definedName>
    <definedName name="Muycat">#REF!</definedName>
    <definedName name="Muyep">#REF!</definedName>
    <definedName name="n">'Lien hop'!$D$48</definedName>
    <definedName name="nco">'Lien hop'!$D$85</definedName>
    <definedName name="nd">'kich thuoc'!#REF!</definedName>
    <definedName name="nn">'kich thuoc'!#REF!</definedName>
    <definedName name="_xlnm.Print_Area" localSheetId="2">'Lien hop'!$A$1:$H$148</definedName>
    <definedName name="s">'Lien hop'!$G$15</definedName>
    <definedName name="Sbt">'Lien hop'!$F$48</definedName>
    <definedName name="t">'Dam thep han'!#REF!</definedName>
    <definedName name="t1d">'kich thuoc'!$D$23</definedName>
    <definedName name="t1t">'kich thuoc'!$D$12</definedName>
    <definedName name="t2d">'kich thuoc'!$D$27</definedName>
    <definedName name="t2t">'kich thuoc'!$D$15</definedName>
    <definedName name="t3d">'kich thuoc'!$D$31</definedName>
    <definedName name="t3t">'kich thuoc'!$D$18</definedName>
    <definedName name="td">'Dam thep han'!$F$10</definedName>
    <definedName name="tg">#REF!</definedName>
    <definedName name="ti">#REF!</definedName>
    <definedName name="tt">'Dam thep han'!$F$8</definedName>
    <definedName name="yobt">'Lien hop'!$F$39</definedName>
    <definedName name="Yohan">'Dam thep han'!$F$30</definedName>
    <definedName name="yolh">'Lien hop'!$E$61</definedName>
    <definedName name="yot">#REF!</definedName>
    <definedName name="yoth">'Lien hop'!$D$11</definedName>
    <definedName name="Z">'Lien hop'!$D$57</definedName>
    <definedName name="Zbt">'Lien hop'!$F$44</definedName>
    <definedName name="Zco">'Lien hop'!$D$103</definedName>
    <definedName name="Zo">#REF!</definedName>
  </definedNames>
  <calcPr fullCalcOnLoad="1"/>
</workbook>
</file>

<file path=xl/sharedStrings.xml><?xml version="1.0" encoding="utf-8"?>
<sst xmlns="http://schemas.openxmlformats.org/spreadsheetml/2006/main" count="263" uniqueCount="183">
  <si>
    <t>kÝch th­íc dÇm thÐp vµ thÐp liªn hîp b¶n btct</t>
  </si>
  <si>
    <t>tªn cÇu :</t>
  </si>
  <si>
    <t>mÆt  c¾t :</t>
  </si>
  <si>
    <t xml:space="preserve"> i - nhËp kÝch th­íc dÇm thÐp :</t>
  </si>
  <si>
    <t>kÝ hiÖu</t>
  </si>
  <si>
    <t xml:space="preserve"> - Réng :</t>
  </si>
  <si>
    <t>b1t</t>
  </si>
  <si>
    <t xml:space="preserve"> - Dµy :</t>
  </si>
  <si>
    <t>t1t</t>
  </si>
  <si>
    <t>b2t</t>
  </si>
  <si>
    <t>t2t</t>
  </si>
  <si>
    <t>b3t</t>
  </si>
  <si>
    <t>t3t</t>
  </si>
  <si>
    <t xml:space="preserve"> </t>
  </si>
  <si>
    <t xml:space="preserve"> - ChiÒu cao b¶n bông</t>
  </si>
  <si>
    <t>ho</t>
  </si>
  <si>
    <t xml:space="preserve"> -ChiÒu dµy b¶n bông</t>
  </si>
  <si>
    <t>d</t>
  </si>
  <si>
    <t xml:space="preserve"> - ChiÒu réng :</t>
  </si>
  <si>
    <t>b1d</t>
  </si>
  <si>
    <t xml:space="preserve"> - ChiÒu dµy</t>
  </si>
  <si>
    <t>t1d</t>
  </si>
  <si>
    <t>b2d</t>
  </si>
  <si>
    <t>t2d</t>
  </si>
  <si>
    <t xml:space="preserve"> - Réng</t>
  </si>
  <si>
    <t>b3d</t>
  </si>
  <si>
    <t>t3d</t>
  </si>
  <si>
    <t xml:space="preserve">th«ng sè </t>
  </si>
  <si>
    <t>gÝa trÞ</t>
  </si>
  <si>
    <t xml:space="preserve"> M¸c bª t«ng</t>
  </si>
  <si>
    <t xml:space="preserve"> ChiÒu dµi mót hÉng</t>
  </si>
  <si>
    <t>lk</t>
  </si>
  <si>
    <t xml:space="preserve"> Kho¶ng c¸ch dÇm</t>
  </si>
  <si>
    <t>a</t>
  </si>
  <si>
    <t xml:space="preserve"> ChiÒu cao vót</t>
  </si>
  <si>
    <t>hv</t>
  </si>
  <si>
    <t xml:space="preserve"> ChiÒu réng vót</t>
  </si>
  <si>
    <t>bv</t>
  </si>
  <si>
    <t>mÆt c¾t:</t>
  </si>
  <si>
    <t>tªn cÇu:</t>
  </si>
  <si>
    <t xml:space="preserve">   - ChiÒu dµy c¸c tËp b¶n :</t>
  </si>
  <si>
    <t>B¶n n¾p :</t>
  </si>
  <si>
    <t>=</t>
  </si>
  <si>
    <t>B¶n ®¸y :</t>
  </si>
  <si>
    <t xml:space="preserve">  - DiÖn tÝch c¸c b¶n c¸nh :</t>
  </si>
  <si>
    <r>
      <t>F</t>
    </r>
    <r>
      <rPr>
        <sz val="9"/>
        <rFont val=".VnArial"/>
        <family val="2"/>
      </rPr>
      <t xml:space="preserve">b  </t>
    </r>
    <r>
      <rPr>
        <sz val="11"/>
        <rFont val=".VnArial"/>
        <family val="2"/>
      </rPr>
      <t>=</t>
    </r>
  </si>
  <si>
    <t>cm2</t>
  </si>
  <si>
    <t>cm</t>
  </si>
  <si>
    <t xml:space="preserve"> 1- DiÖn tÝch tiÕt diÖn dÇm thÐp :</t>
  </si>
  <si>
    <t xml:space="preserve"> 2- VÞ trÝ träng t©m dÇm thÐp so víi mÐp b¶n ®¸y :</t>
  </si>
  <si>
    <t>3 - M« men qu¸n tÝnh :</t>
  </si>
  <si>
    <t xml:space="preserve">  B¶n n¾p :</t>
  </si>
  <si>
    <t>cm4</t>
  </si>
  <si>
    <t xml:space="preserve"> - M« men qu¸n tÝnh cña tiÕt diÖn dÇm thÐp :</t>
  </si>
  <si>
    <r>
      <t>J</t>
    </r>
    <r>
      <rPr>
        <sz val="10"/>
        <rFont val=".VnArial"/>
        <family val="2"/>
      </rPr>
      <t xml:space="preserve">han </t>
    </r>
    <r>
      <rPr>
        <sz val="11"/>
        <rFont val=".VnArial"/>
        <family val="2"/>
      </rPr>
      <t>=</t>
    </r>
  </si>
  <si>
    <t xml:space="preserve">   - ChiÒu cao dÇm hµn :</t>
  </si>
  <si>
    <r>
      <t>H</t>
    </r>
    <r>
      <rPr>
        <sz val="10"/>
        <rFont val=".VnArial"/>
        <family val="2"/>
      </rPr>
      <t>han =</t>
    </r>
  </si>
  <si>
    <t xml:space="preserve">4 - M« men kh¸ng uèn cña dÇm thÐp </t>
  </si>
  <si>
    <t xml:space="preserve"> - TÝnh cho mÐp trªn b¶n n¾p :</t>
  </si>
  <si>
    <t>cm3</t>
  </si>
  <si>
    <t xml:space="preserve"> - TÝnh cho mÐp d­íi b¶n ®¸y :</t>
  </si>
  <si>
    <t>5 - M« men tÜnh cña nöa trªn dÇm :</t>
  </si>
  <si>
    <t xml:space="preserve"> i- ®Æc tr­ng h×nh häc cña dÇm thÐp :</t>
  </si>
  <si>
    <t xml:space="preserve"> ChiÒu dµy b¶n hÉng</t>
  </si>
  <si>
    <t xml:space="preserve"> ChiÒu dµy b¶n </t>
  </si>
  <si>
    <t>hc</t>
  </si>
  <si>
    <t>hk</t>
  </si>
  <si>
    <t>M</t>
  </si>
  <si>
    <r>
      <t>H</t>
    </r>
    <r>
      <rPr>
        <sz val="9"/>
        <rFont val=".VnArial"/>
        <family val="2"/>
      </rPr>
      <t>th</t>
    </r>
  </si>
  <si>
    <t>b</t>
  </si>
  <si>
    <r>
      <t>y</t>
    </r>
    <r>
      <rPr>
        <sz val="9"/>
        <rFont val=".VnArial"/>
        <family val="2"/>
      </rPr>
      <t>o,th</t>
    </r>
  </si>
  <si>
    <r>
      <t>F</t>
    </r>
    <r>
      <rPr>
        <sz val="9"/>
        <rFont val=".VnArial"/>
        <family val="2"/>
      </rPr>
      <t>th</t>
    </r>
  </si>
  <si>
    <r>
      <t>J</t>
    </r>
    <r>
      <rPr>
        <sz val="9"/>
        <rFont val=".VnArial"/>
        <family val="2"/>
      </rPr>
      <t>th</t>
    </r>
  </si>
  <si>
    <t xml:space="preserve">S¬ ®å tÝnh to¸n </t>
  </si>
  <si>
    <t>tiÕt diÖn dÇm liªn hîp</t>
  </si>
  <si>
    <t xml:space="preserve"> ii- tiÕt diÖn tÝnh to¸n b¶n bª t«ng :</t>
  </si>
  <si>
    <t xml:space="preserve">    - §èi víi dÇm biªn :</t>
  </si>
  <si>
    <t>s=</t>
  </si>
  <si>
    <t xml:space="preserve">   - §èi víi dÇm gi÷a tÝnh theo Cp</t>
  </si>
  <si>
    <t xml:space="preserve">    1  - TiÕt diÖn b¶n bª t«ng :</t>
  </si>
  <si>
    <t xml:space="preserve">     2- Kho¶ng c¸ch tõ träng t©m b¶n ®Õn träng t©m dÇm thÐp :</t>
  </si>
  <si>
    <t xml:space="preserve"> - Kho¶ng c¸ch tõ träng t©m b¶n ®Õn mÐp trªn dÇm thÐp :</t>
  </si>
  <si>
    <t xml:space="preserve"> - Kho¶ng c¸ch tõ träng t©m b¶n ®Õn träng t©m dÇm thÐp   Zbt:</t>
  </si>
  <si>
    <t xml:space="preserve">    3 - M« men tÜnh tÝnh ®æi cña b¶n bª t«ng so víi träng t©m dÇm thÐp :</t>
  </si>
  <si>
    <r>
      <t xml:space="preserve"> -trong ®ã n</t>
    </r>
    <r>
      <rPr>
        <sz val="8"/>
        <rFont val=".VnArial"/>
        <family val="2"/>
      </rPr>
      <t xml:space="preserve">1 </t>
    </r>
    <r>
      <rPr>
        <sz val="11"/>
        <rFont val=".VnArial"/>
        <family val="2"/>
      </rPr>
      <t>: hÖ sè chuyÓn ®æi vËt liÖu bª t«ng -sang thÐp</t>
    </r>
  </si>
  <si>
    <r>
      <t>S</t>
    </r>
    <r>
      <rPr>
        <sz val="9"/>
        <rFont val=".VnArial"/>
        <family val="2"/>
      </rPr>
      <t xml:space="preserve">bt  </t>
    </r>
    <r>
      <rPr>
        <sz val="11"/>
        <rFont val=".VnArial"/>
        <family val="2"/>
      </rPr>
      <t>=</t>
    </r>
  </si>
  <si>
    <t xml:space="preserve">     4 - DiÖn tÝch tÝnh ®æi cña dÇm liªn hîp :</t>
  </si>
  <si>
    <t xml:space="preserve">      5 - VÞ trÝ trôc trung hoµ dÇm liªn hîp tÝnh ®Õn träng t©m dÇm thÐp :</t>
  </si>
  <si>
    <t xml:space="preserve"> VÞ trÝ trôc trung hoµ tiÕt diÖn liªn hîp tÝnh ®Õn mÐp d­íi dÇm thÐp</t>
  </si>
  <si>
    <t xml:space="preserve">        6 - M« men qu¸n tÝnh riªng cña b¶n :</t>
  </si>
  <si>
    <t xml:space="preserve">        7- M« men qu¸n tÝnh tÝnh ®æi cña tiÕt diÖn liªn hîp :</t>
  </si>
  <si>
    <t xml:space="preserve">         7 - M« men kh¸ng uèn cña tiÕt diÖn liªn hîp :</t>
  </si>
  <si>
    <t xml:space="preserve">    - T¹i mÐp b¶n bª t«ng :</t>
  </si>
  <si>
    <t xml:space="preserve">    - T¹i mÐp trªn dÇm thÐp</t>
  </si>
  <si>
    <t xml:space="preserve">    - MÐp d­íi dÇm thÐp</t>
  </si>
  <si>
    <r>
      <t>W</t>
    </r>
    <r>
      <rPr>
        <sz val="9"/>
        <rFont val=".VnArial"/>
        <family val="2"/>
      </rPr>
      <t xml:space="preserve">lh,tr  </t>
    </r>
    <r>
      <rPr>
        <sz val="11"/>
        <rFont val=".VnArial"/>
        <family val="2"/>
      </rPr>
      <t>=</t>
    </r>
  </si>
  <si>
    <r>
      <t>W</t>
    </r>
    <r>
      <rPr>
        <sz val="9"/>
        <rFont val=".VnArial"/>
        <family val="2"/>
      </rPr>
      <t>lh,d</t>
    </r>
    <r>
      <rPr>
        <sz val="11"/>
        <rFont val=".VnArial"/>
        <family val="2"/>
      </rPr>
      <t xml:space="preserve">  =</t>
    </r>
  </si>
  <si>
    <r>
      <t>W</t>
    </r>
    <r>
      <rPr>
        <sz val="9"/>
        <rFont val=".VnArial"/>
        <family val="2"/>
      </rPr>
      <t>lh,bt</t>
    </r>
    <r>
      <rPr>
        <sz val="11"/>
        <rFont val=".VnArial"/>
        <family val="2"/>
      </rPr>
      <t xml:space="preserve"> =</t>
    </r>
  </si>
  <si>
    <t xml:space="preserve"> iii - ®Æc tr­ng h×nh häc cã xÐt ®Õn co ngãt vµ tõ biÕn cña bª t«ng :</t>
  </si>
  <si>
    <t xml:space="preserve">     1- HÖ sè chuyÓn ®æi vËt liÖu bª t«ng sang thÐp :</t>
  </si>
  <si>
    <t xml:space="preserve">      c¸c ®Æc tr­ng h×nh häc tÝnh ®­îc</t>
  </si>
  <si>
    <t>s</t>
  </si>
  <si>
    <r>
      <t>w</t>
    </r>
    <r>
      <rPr>
        <b/>
        <sz val="10"/>
        <rFont val=".VnArial"/>
        <family val="2"/>
      </rPr>
      <t>tr</t>
    </r>
  </si>
  <si>
    <r>
      <t>w</t>
    </r>
    <r>
      <rPr>
        <b/>
        <sz val="10"/>
        <rFont val=".VnArial"/>
        <family val="2"/>
      </rPr>
      <t>d</t>
    </r>
  </si>
  <si>
    <r>
      <t>f</t>
    </r>
    <r>
      <rPr>
        <b/>
        <sz val="10"/>
        <rFont val=".VnArial"/>
        <family val="2"/>
      </rPr>
      <t>br</t>
    </r>
  </si>
  <si>
    <r>
      <t>f</t>
    </r>
    <r>
      <rPr>
        <b/>
        <sz val="9"/>
        <rFont val=".VnArial"/>
        <family val="2"/>
      </rPr>
      <t>net</t>
    </r>
  </si>
  <si>
    <r>
      <t>f</t>
    </r>
    <r>
      <rPr>
        <b/>
        <sz val="9"/>
        <rFont val=".VnArial"/>
        <family val="2"/>
      </rPr>
      <t>td</t>
    </r>
  </si>
  <si>
    <r>
      <t>j</t>
    </r>
    <r>
      <rPr>
        <b/>
        <sz val="10"/>
        <rFont val=".VnArial"/>
        <family val="2"/>
      </rPr>
      <t>td</t>
    </r>
  </si>
  <si>
    <r>
      <t>w</t>
    </r>
    <r>
      <rPr>
        <b/>
        <sz val="10"/>
        <rFont val=".VnArial"/>
        <family val="2"/>
      </rPr>
      <t>bt</t>
    </r>
  </si>
  <si>
    <t xml:space="preserve"> - X¸c ®Þnh träng t©m cña nöa trªn tiÕt diÖn so víi trôc trung hoµ  :</t>
  </si>
  <si>
    <t>yo=</t>
  </si>
  <si>
    <t>S=</t>
  </si>
  <si>
    <t>S'=</t>
  </si>
  <si>
    <t>s'</t>
  </si>
  <si>
    <r>
      <t>j</t>
    </r>
    <r>
      <rPr>
        <b/>
        <sz val="9"/>
        <rFont val=".VnArial"/>
        <family val="2"/>
      </rPr>
      <t>br</t>
    </r>
  </si>
  <si>
    <r>
      <t>j</t>
    </r>
    <r>
      <rPr>
        <b/>
        <sz val="9"/>
        <rFont val=".VnArial"/>
        <family val="2"/>
      </rPr>
      <t>net</t>
    </r>
  </si>
  <si>
    <t xml:space="preserve">    - T¹i träng t©m b¶n bª t«ng :</t>
  </si>
  <si>
    <r>
      <t>W</t>
    </r>
    <r>
      <rPr>
        <sz val="9"/>
        <rFont val=".VnArial"/>
        <family val="2"/>
      </rPr>
      <t>bt,0 =</t>
    </r>
  </si>
  <si>
    <t>ii - x¸c ®Þnh c¸c ®Æc tr­ng h×nh häc :</t>
  </si>
  <si>
    <t>(cm)</t>
  </si>
  <si>
    <t>;</t>
  </si>
  <si>
    <r>
      <t>(V× S</t>
    </r>
    <r>
      <rPr>
        <sz val="8"/>
        <rFont val=".VnArial"/>
        <family val="2"/>
      </rPr>
      <t>thÐp</t>
    </r>
    <r>
      <rPr>
        <sz val="11"/>
        <rFont val=".VnArial"/>
        <family val="2"/>
      </rPr>
      <t>=0 )</t>
    </r>
  </si>
  <si>
    <t>0,5Ebt - M«®uyl ®µn håi cña bª t«ng do co ngãt vµ tõ biÕn.</t>
  </si>
  <si>
    <t xml:space="preserve">      2- DiÖn tÝch tiÕt diÖn tÝnh ®æi khi xÐt ®Õn co ngãt vµ tõ biÕn :</t>
  </si>
  <si>
    <t xml:space="preserve">     3- M« men tÜnh tÝnh ®æi cña b¶n bª t«ng ®èi víi trôc trung hoµ dÇm thÐp khi cã</t>
  </si>
  <si>
    <t xml:space="preserve">         xÐt ®Õn co ngãt vµ tõ biÕn.</t>
  </si>
  <si>
    <t xml:space="preserve">     4 - VÞ trÝ trôc trung hoµ tiÕt diÖn liªn hîp ®Õn trôc trung hoµ cña dÇm thÐp khi xÐt</t>
  </si>
  <si>
    <t xml:space="preserve">           ®Õn co ngãt vµ tõ biÕn.</t>
  </si>
  <si>
    <t xml:space="preserve">     5- M« men qu¸n tÝnh tÝnh ®æi cña tiÕt diÖn liªn hîp khi cã xÐt ®Õn co ngãt vµ tõ biÕn:</t>
  </si>
  <si>
    <t xml:space="preserve"> C«ng thøc :</t>
  </si>
  <si>
    <t xml:space="preserve">     6- M« men kh¸ng uèn cña tiÕt diÖn liªn hîp khi xÐt tõ biÕn vµ co ngãt, tÝnh cho :</t>
  </si>
  <si>
    <t xml:space="preserve"> - MÐp trªn b¶n bª t«ng :</t>
  </si>
  <si>
    <t xml:space="preserve"> - Träng t©m b¶n bª t«ng:</t>
  </si>
  <si>
    <t xml:space="preserve"> - MÐp trªn dÇm thÐp:</t>
  </si>
  <si>
    <t xml:space="preserve"> - MÐp d­íi dÇm thÐp :</t>
  </si>
  <si>
    <r>
      <t>W</t>
    </r>
    <r>
      <rPr>
        <sz val="9"/>
        <rFont val=".VnArial"/>
        <family val="2"/>
      </rPr>
      <t>lh,bt-co:</t>
    </r>
  </si>
  <si>
    <r>
      <t>W</t>
    </r>
    <r>
      <rPr>
        <sz val="9"/>
        <rFont val=".VnArial"/>
        <family val="2"/>
      </rPr>
      <t>lh,Obt-co</t>
    </r>
    <r>
      <rPr>
        <sz val="11"/>
        <rFont val=".VnArial"/>
        <family val="2"/>
      </rPr>
      <t>:</t>
    </r>
  </si>
  <si>
    <r>
      <t>W</t>
    </r>
    <r>
      <rPr>
        <sz val="9"/>
        <rFont val=".VnArial"/>
        <family val="2"/>
      </rPr>
      <t>lh,th,tr-co:</t>
    </r>
  </si>
  <si>
    <r>
      <t>W</t>
    </r>
    <r>
      <rPr>
        <sz val="9"/>
        <rFont val=".VnArial"/>
        <family val="2"/>
      </rPr>
      <t>lh,th,d-co:</t>
    </r>
  </si>
  <si>
    <t xml:space="preserve">      c¸c ®Æc tr­ng h×nh häc tÝnh co ngãt</t>
  </si>
  <si>
    <r>
      <t>f</t>
    </r>
    <r>
      <rPr>
        <b/>
        <sz val="9"/>
        <rFont val=".VnArial"/>
        <family val="2"/>
      </rPr>
      <t>td,co</t>
    </r>
  </si>
  <si>
    <r>
      <t>j</t>
    </r>
    <r>
      <rPr>
        <b/>
        <sz val="10"/>
        <rFont val=".VnArial"/>
        <family val="2"/>
      </rPr>
      <t>td,co</t>
    </r>
  </si>
  <si>
    <r>
      <t>w</t>
    </r>
    <r>
      <rPr>
        <b/>
        <sz val="10"/>
        <rFont val=".VnArial"/>
        <family val="2"/>
      </rPr>
      <t>tr,co</t>
    </r>
  </si>
  <si>
    <r>
      <t>w</t>
    </r>
    <r>
      <rPr>
        <b/>
        <sz val="10"/>
        <rFont val=".VnArial"/>
        <family val="2"/>
      </rPr>
      <t>d,co</t>
    </r>
  </si>
  <si>
    <r>
      <t>w</t>
    </r>
    <r>
      <rPr>
        <b/>
        <sz val="10"/>
        <rFont val=".VnArial"/>
        <family val="2"/>
      </rPr>
      <t>bt-o,co</t>
    </r>
  </si>
  <si>
    <r>
      <t>w</t>
    </r>
    <r>
      <rPr>
        <b/>
        <sz val="10"/>
        <rFont val=".VnArial"/>
        <family val="2"/>
      </rPr>
      <t>bt,co</t>
    </r>
  </si>
  <si>
    <t xml:space="preserve"> ii - nhËp sè liÖu vÒ b¶n bª t«ng :</t>
  </si>
  <si>
    <t xml:space="preserve"> -  X¸c ®Þnh m« men qu¸n tÝnh cña c¸c bé phËn dÇm so víi trôc riªng : cm4</t>
  </si>
  <si>
    <t xml:space="preserve"> -ChiÒu dµi</t>
  </si>
  <si>
    <t>l1d</t>
  </si>
  <si>
    <t>l2d</t>
  </si>
  <si>
    <t xml:space="preserve"> -ChiÒu dµi </t>
  </si>
  <si>
    <t>l3d</t>
  </si>
  <si>
    <t>Fd=</t>
  </si>
  <si>
    <t xml:space="preserve">      c¸c ®Æc tr­ng h×nh häc tÝnh duyÖt c­êng ®é</t>
  </si>
  <si>
    <t>KÝch th­íc thiÕt kÕ (cm)</t>
  </si>
  <si>
    <r>
      <t>J</t>
    </r>
    <r>
      <rPr>
        <sz val="9"/>
        <rFont val=".VnArial"/>
        <family val="2"/>
      </rPr>
      <t>trªn,y-y=</t>
    </r>
  </si>
  <si>
    <r>
      <t>J</t>
    </r>
    <r>
      <rPr>
        <sz val="10"/>
        <rFont val=".VnArial"/>
        <family val="2"/>
      </rPr>
      <t>d­íi,y-y=</t>
    </r>
  </si>
  <si>
    <r>
      <t>F</t>
    </r>
    <r>
      <rPr>
        <sz val="9"/>
        <rFont val=".VnArial"/>
        <family val="2"/>
      </rPr>
      <t>trªn,nÐn</t>
    </r>
    <r>
      <rPr>
        <sz val="11"/>
        <rFont val=".VnArial"/>
        <family val="2"/>
      </rPr>
      <t>=</t>
    </r>
  </si>
  <si>
    <r>
      <t>F</t>
    </r>
    <r>
      <rPr>
        <sz val="9"/>
        <rFont val=".VnArial"/>
        <family val="2"/>
      </rPr>
      <t>Trªn,Neto</t>
    </r>
    <r>
      <rPr>
        <sz val="11"/>
        <rFont val=".VnArial"/>
        <family val="2"/>
      </rPr>
      <t>=</t>
    </r>
  </si>
  <si>
    <t>Fb=</t>
  </si>
  <si>
    <t>Htd=</t>
  </si>
  <si>
    <r>
      <t>y</t>
    </r>
    <r>
      <rPr>
        <sz val="9"/>
        <rFont val=".VnArial"/>
        <family val="2"/>
      </rPr>
      <t>td-mÐp bt</t>
    </r>
  </si>
  <si>
    <r>
      <t>y</t>
    </r>
    <r>
      <rPr>
        <sz val="9"/>
        <rFont val=".VnArial"/>
        <family val="2"/>
      </rPr>
      <t>td-trªn thÐp</t>
    </r>
  </si>
  <si>
    <r>
      <t>y</t>
    </r>
    <r>
      <rPr>
        <sz val="9"/>
        <rFont val=".VnArial"/>
        <family val="2"/>
      </rPr>
      <t>td-d­íi thÐp</t>
    </r>
  </si>
  <si>
    <r>
      <t>y</t>
    </r>
    <r>
      <rPr>
        <sz val="10"/>
        <rFont val=".VnArial"/>
        <family val="2"/>
      </rPr>
      <t>tr</t>
    </r>
    <r>
      <rPr>
        <sz val="9"/>
        <rFont val=".VnArial"/>
        <family val="2"/>
      </rPr>
      <t xml:space="preserve">,td-co </t>
    </r>
    <r>
      <rPr>
        <sz val="11"/>
        <rFont val=".VnArial"/>
        <family val="2"/>
      </rPr>
      <t>=</t>
    </r>
  </si>
  <si>
    <r>
      <t>Y</t>
    </r>
    <r>
      <rPr>
        <sz val="9"/>
        <rFont val=".VnArial"/>
        <family val="2"/>
      </rPr>
      <t>bt,td-co =</t>
    </r>
  </si>
  <si>
    <r>
      <t>Y</t>
    </r>
    <r>
      <rPr>
        <sz val="9"/>
        <rFont val=".VnArial"/>
        <family val="2"/>
      </rPr>
      <t>d,td-co =</t>
    </r>
  </si>
  <si>
    <t>tÝnh ®Æc tr­ng h×nh häc cña dÇm tæ hîp hµn</t>
  </si>
  <si>
    <t xml:space="preserve">     tÝnh  §Æc tr­ng h×nh häc dÇm thÐp liªn hîp -b¶n btct</t>
  </si>
  <si>
    <t>Bé phËn cÊu t¹o</t>
  </si>
  <si>
    <t>KÝ hiÖu</t>
  </si>
  <si>
    <t>TËp b¶n1</t>
  </si>
  <si>
    <t>TËp b¶n 2</t>
  </si>
  <si>
    <t>TËp b¶n 3</t>
  </si>
  <si>
    <t>TËp b¶n  1(hoÆct¸p ®¸y,nÕu lµ dÇm I)</t>
  </si>
  <si>
    <t>c¸nh chÞu nÐn</t>
  </si>
  <si>
    <t>b¶n bông</t>
  </si>
  <si>
    <t>c¸nh chÞu kÐo</t>
  </si>
  <si>
    <t xml:space="preserve"> - DiÖn tÝch b¶n bông  :</t>
  </si>
  <si>
    <t xml:space="preserve"> B¶n bông:</t>
  </si>
  <si>
    <t>Gi÷a nhÞp</t>
  </si>
  <si>
    <t>Ph­¬ng ¸n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</si>
</sst>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0"/>
    <numFmt numFmtId="167" formatCode="0.000"/>
    <numFmt numFmtId="168" formatCode="0.000000"/>
    <numFmt numFmtId="169" formatCode="0.0000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6">
    <font>
      <sz val="11"/>
      <name val=".VnArial"/>
      <family val="2"/>
    </font>
    <font>
      <sz val="10"/>
      <name val=".VnTime"/>
      <family val="0"/>
    </font>
    <font>
      <b/>
      <sz val="12"/>
      <name val=".VnArialH"/>
      <family val="2"/>
    </font>
    <font>
      <sz val="11"/>
      <name val=".VnArialH"/>
      <family val="2"/>
    </font>
    <font>
      <b/>
      <i/>
      <sz val="12"/>
      <color indexed="12"/>
      <name val=".VnTime"/>
      <family val="2"/>
    </font>
    <font>
      <sz val="10"/>
      <name val=".VnArial"/>
      <family val="2"/>
    </font>
    <font>
      <b/>
      <sz val="10"/>
      <color indexed="10"/>
      <name val=".VnArial"/>
      <family val="2"/>
    </font>
    <font>
      <b/>
      <sz val="11"/>
      <color indexed="10"/>
      <name val=".VnTime"/>
      <family val="2"/>
    </font>
    <font>
      <sz val="11"/>
      <color indexed="10"/>
      <name val=".VnArial"/>
      <family val="2"/>
    </font>
    <font>
      <b/>
      <i/>
      <sz val="12"/>
      <color indexed="10"/>
      <name val=".VnTime"/>
      <family val="2"/>
    </font>
    <font>
      <sz val="10"/>
      <name val=".VnTimeH"/>
      <family val="2"/>
    </font>
    <font>
      <sz val="9"/>
      <name val=".VnArial"/>
      <family val="2"/>
    </font>
    <font>
      <sz val="12"/>
      <name val=".VnArial"/>
      <family val="2"/>
    </font>
    <font>
      <b/>
      <sz val="14"/>
      <name val=".VnArialH"/>
      <family val="2"/>
    </font>
    <font>
      <sz val="8"/>
      <name val=".VnArial"/>
      <family val="2"/>
    </font>
    <font>
      <b/>
      <sz val="11"/>
      <name val=".VnArialH"/>
      <family val="2"/>
    </font>
    <font>
      <b/>
      <sz val="10"/>
      <name val=".VnArial"/>
      <family val="2"/>
    </font>
    <font>
      <b/>
      <sz val="9"/>
      <name val=".VnArial"/>
      <family val="2"/>
    </font>
    <font>
      <sz val="11"/>
      <color indexed="12"/>
      <name val=".VnArial"/>
      <family val="2"/>
    </font>
    <font>
      <sz val="10"/>
      <name val=".VnArialH"/>
      <family val="2"/>
    </font>
    <font>
      <sz val="10"/>
      <color indexed="12"/>
      <name val=".VnTimeH"/>
      <family val="2"/>
    </font>
    <font>
      <b/>
      <sz val="11"/>
      <color indexed="12"/>
      <name val=".VnArialH"/>
      <family val="2"/>
    </font>
    <font>
      <b/>
      <sz val="12"/>
      <color indexed="12"/>
      <name val=".VnArialH"/>
      <family val="2"/>
    </font>
    <font>
      <sz val="11"/>
      <color indexed="12"/>
      <name val=".VnTime"/>
      <family val="2"/>
    </font>
    <font>
      <sz val="11"/>
      <color indexed="10"/>
      <name val=".VnTimeH"/>
      <family val="2"/>
    </font>
    <font>
      <sz val="9"/>
      <color indexed="12"/>
      <name val=".VnTime"/>
      <family val="2"/>
    </font>
    <font>
      <sz val="10"/>
      <color indexed="12"/>
      <name val=".VnTime"/>
      <family val="2"/>
    </font>
    <font>
      <sz val="8"/>
      <color indexed="12"/>
      <name val=".VnTime"/>
      <family val="2"/>
    </font>
    <font>
      <sz val="8"/>
      <color indexed="48"/>
      <name val=".VnArial"/>
      <family val="2"/>
    </font>
    <font>
      <b/>
      <sz val="11"/>
      <color indexed="10"/>
      <name val=".VnArial"/>
      <family val="2"/>
    </font>
    <font>
      <sz val="11"/>
      <color indexed="48"/>
      <name val=".VnArial"/>
      <family val="2"/>
    </font>
    <font>
      <sz val="10"/>
      <color indexed="10"/>
      <name val=".VnArial"/>
      <family val="2"/>
    </font>
    <font>
      <u val="single"/>
      <sz val="11"/>
      <color indexed="12"/>
      <name val=".VnArial"/>
      <family val="2"/>
    </font>
    <font>
      <u val="single"/>
      <sz val="11"/>
      <color indexed="36"/>
      <name val=".VnArial"/>
      <family val="2"/>
    </font>
    <font>
      <b/>
      <sz val="11"/>
      <color indexed="10"/>
      <name val=".VnArialH"/>
      <family val="2"/>
    </font>
    <font>
      <b/>
      <sz val="11"/>
      <color indexed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textRotation="90"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34" fillId="2" borderId="2" xfId="0" applyFont="1" applyFill="1" applyBorder="1" applyAlignment="1">
      <alignment horizontal="center" vertical="center" textRotation="90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/>
    </xf>
    <xf numFmtId="0" fontId="34" fillId="2" borderId="9" xfId="0" applyFont="1" applyFill="1" applyBorder="1" applyAlignment="1">
      <alignment horizontal="center" vertical="center" textRotation="90"/>
    </xf>
    <xf numFmtId="0" fontId="29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9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34" fillId="2" borderId="0" xfId="0" applyFont="1" applyFill="1" applyBorder="1" applyAlignment="1">
      <alignment horizontal="center" vertical="center" textRotation="90"/>
    </xf>
    <xf numFmtId="0" fontId="22" fillId="2" borderId="8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35" fillId="0" borderId="2" xfId="0" applyFont="1" applyFill="1" applyBorder="1" applyAlignment="1">
      <alignment horizontal="center"/>
    </xf>
    <xf numFmtId="0" fontId="23" fillId="0" borderId="2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rungian!A1" /><Relationship Id="rId2" Type="http://schemas.openxmlformats.org/officeDocument/2006/relationships/image" Target="../media/image13.emf" /><Relationship Id="rId3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Relationship Id="rId8" Type="http://schemas.openxmlformats.org/officeDocument/2006/relationships/image" Target="../media/image10.emf" /><Relationship Id="rId9" Type="http://schemas.openxmlformats.org/officeDocument/2006/relationships/image" Target="../media/image14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5.emf" /><Relationship Id="rId3" Type="http://schemas.openxmlformats.org/officeDocument/2006/relationships/image" Target="../media/image22.emf" /><Relationship Id="rId4" Type="http://schemas.openxmlformats.org/officeDocument/2006/relationships/image" Target="../media/image27.emf" /><Relationship Id="rId5" Type="http://schemas.openxmlformats.org/officeDocument/2006/relationships/image" Target="../media/image21.emf" /><Relationship Id="rId6" Type="http://schemas.openxmlformats.org/officeDocument/2006/relationships/image" Target="../media/image18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26.emf" /><Relationship Id="rId10" Type="http://schemas.openxmlformats.org/officeDocument/2006/relationships/image" Target="../media/image20.emf" /><Relationship Id="rId11" Type="http://schemas.openxmlformats.org/officeDocument/2006/relationships/image" Target="../media/image17.emf" /><Relationship Id="rId12" Type="http://schemas.openxmlformats.org/officeDocument/2006/relationships/image" Target="../media/image19.emf" /><Relationship Id="rId13" Type="http://schemas.openxmlformats.org/officeDocument/2006/relationships/image" Target="../media/image29.emf" /><Relationship Id="rId14" Type="http://schemas.openxmlformats.org/officeDocument/2006/relationships/image" Target="../media/image28.emf" /><Relationship Id="rId15" Type="http://schemas.openxmlformats.org/officeDocument/2006/relationships/image" Target="../media/image30.emf" /><Relationship Id="rId16" Type="http://schemas.openxmlformats.org/officeDocument/2006/relationships/image" Target="../media/image31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16.emf" /><Relationship Id="rId20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0</xdr:rowOff>
    </xdr:from>
    <xdr:to>
      <xdr:col>3</xdr:col>
      <xdr:colOff>0</xdr:colOff>
      <xdr:row>34</xdr:row>
      <xdr:rowOff>9525</xdr:rowOff>
    </xdr:to>
    <xdr:sp>
      <xdr:nvSpPr>
        <xdr:cNvPr id="1" name="TextBox 14">
          <a:hlinkClick r:id="rId1"/>
        </xdr:cNvPr>
        <xdr:cNvSpPr txBox="1">
          <a:spLocks noChangeArrowheads="1"/>
        </xdr:cNvSpPr>
      </xdr:nvSpPr>
      <xdr:spPr>
        <a:xfrm>
          <a:off x="38100" y="6934200"/>
          <a:ext cx="5172075" cy="9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.VnArial"/>
              <a:ea typeface=".VnArial"/>
              <a:cs typeface=".VnArial"/>
            </a:rPr>
            <a:t>Nh÷ng cÊu t¹o bÊt th­êng kh¸c cña tiÕt diÖn</a:t>
          </a:r>
        </a:p>
      </xdr:txBody>
    </xdr:sp>
    <xdr:clientData/>
  </xdr:twoCellAnchor>
  <xdr:twoCellAnchor editAs="oneCell">
    <xdr:from>
      <xdr:col>4</xdr:col>
      <xdr:colOff>742950</xdr:colOff>
      <xdr:row>7</xdr:row>
      <xdr:rowOff>304800</xdr:rowOff>
    </xdr:from>
    <xdr:to>
      <xdr:col>6</xdr:col>
      <xdr:colOff>609600</xdr:colOff>
      <xdr:row>24</xdr:row>
      <xdr:rowOff>123825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752600"/>
          <a:ext cx="1809750" cy="3467100"/>
        </a:xfrm>
        <a:prstGeom prst="rect">
          <a:avLst/>
        </a:prstGeom>
        <a:solidFill>
          <a:srgbClr val="33CCCC"/>
        </a:solidFill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32</xdr:row>
      <xdr:rowOff>57150</xdr:rowOff>
    </xdr:from>
    <xdr:to>
      <xdr:col>8</xdr:col>
      <xdr:colOff>390525</xdr:colOff>
      <xdr:row>42</xdr:row>
      <xdr:rowOff>161925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6600825"/>
          <a:ext cx="40862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45</xdr:row>
      <xdr:rowOff>76200</xdr:rowOff>
    </xdr:from>
    <xdr:to>
      <xdr:col>7</xdr:col>
      <xdr:colOff>209550</xdr:colOff>
      <xdr:row>46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191500"/>
          <a:ext cx="6048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18</xdr:row>
      <xdr:rowOff>76200</xdr:rowOff>
    </xdr:from>
    <xdr:to>
      <xdr:col>2</xdr:col>
      <xdr:colOff>542925</xdr:colOff>
      <xdr:row>20</xdr:row>
      <xdr:rowOff>28575</xdr:rowOff>
    </xdr:to>
    <xdr:sp textlink="Z">
      <xdr:nvSpPr>
        <xdr:cNvPr id="1" name="TextBox 34"/>
        <xdr:cNvSpPr txBox="1">
          <a:spLocks noChangeArrowheads="1"/>
        </xdr:cNvSpPr>
      </xdr:nvSpPr>
      <xdr:spPr>
        <a:xfrm>
          <a:off x="1914525" y="3552825"/>
          <a:ext cx="257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fld id="{f48d163b-5ded-46a5-9141-15405dd07eba}" type="TxLink">
            <a:rPr lang="en-US" cap="none" sz="800" b="0" i="0" u="none" baseline="0">
              <a:latin typeface=".VnArial"/>
              <a:ea typeface=".VnArial"/>
              <a:cs typeface=".VnArial"/>
            </a:rPr>
            <a:t>47.2</a:t>
          </a:fld>
        </a:p>
      </xdr:txBody>
    </xdr:sp>
    <xdr:clientData/>
  </xdr:twoCellAnchor>
  <xdr:twoCellAnchor>
    <xdr:from>
      <xdr:col>1</xdr:col>
      <xdr:colOff>704850</xdr:colOff>
      <xdr:row>13</xdr:row>
      <xdr:rowOff>133350</xdr:rowOff>
    </xdr:from>
    <xdr:to>
      <xdr:col>2</xdr:col>
      <xdr:colOff>180975</xdr:colOff>
      <xdr:row>14</xdr:row>
      <xdr:rowOff>133350</xdr:rowOff>
    </xdr:to>
    <xdr:sp textlink="kp">
      <xdr:nvSpPr>
        <xdr:cNvPr id="2" name="TextBox 22"/>
        <xdr:cNvSpPr txBox="1">
          <a:spLocks noChangeArrowheads="1"/>
        </xdr:cNvSpPr>
      </xdr:nvSpPr>
      <xdr:spPr>
        <a:xfrm>
          <a:off x="1419225" y="2705100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a9ac55f3-1317-4fc9-8a26-9964f57e8ffc}" type="TxLink">
            <a:rPr lang="en-US" cap="none" sz="900" b="0" i="0" u="none" baseline="0">
              <a:latin typeface=".VnArial"/>
              <a:ea typeface=".VnArial"/>
              <a:cs typeface=".VnArial"/>
            </a:rPr>
            <a:t>105</a:t>
          </a:fld>
        </a:p>
      </xdr:txBody>
    </xdr:sp>
    <xdr:clientData/>
  </xdr:twoCellAnchor>
  <xdr:twoCellAnchor>
    <xdr:from>
      <xdr:col>2</xdr:col>
      <xdr:colOff>771525</xdr:colOff>
      <xdr:row>13</xdr:row>
      <xdr:rowOff>142875</xdr:rowOff>
    </xdr:from>
    <xdr:to>
      <xdr:col>3</xdr:col>
      <xdr:colOff>333375</xdr:colOff>
      <xdr:row>14</xdr:row>
      <xdr:rowOff>133350</xdr:rowOff>
    </xdr:to>
    <xdr:sp textlink="cp">
      <xdr:nvSpPr>
        <xdr:cNvPr id="3" name="TextBox 23"/>
        <xdr:cNvSpPr txBox="1">
          <a:spLocks noChangeArrowheads="1"/>
        </xdr:cNvSpPr>
      </xdr:nvSpPr>
      <xdr:spPr>
        <a:xfrm>
          <a:off x="2400300" y="271462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08b178e3-5274-4cd5-8f85-764d732b2097}" type="TxLink">
            <a:rPr lang="en-US" cap="none" sz="900" b="0" i="0" u="none" baseline="0">
              <a:latin typeface=".VnArial"/>
              <a:ea typeface=".VnArial"/>
              <a:cs typeface=".VnArial"/>
            </a:rPr>
            <a:t>105</a:t>
          </a:fld>
        </a:p>
      </xdr:txBody>
    </xdr:sp>
    <xdr:clientData/>
  </xdr:twoCellAnchor>
  <xdr:twoCellAnchor>
    <xdr:from>
      <xdr:col>3</xdr:col>
      <xdr:colOff>485775</xdr:colOff>
      <xdr:row>12</xdr:row>
      <xdr:rowOff>19050</xdr:rowOff>
    </xdr:from>
    <xdr:to>
      <xdr:col>3</xdr:col>
      <xdr:colOff>762000</xdr:colOff>
      <xdr:row>14</xdr:row>
      <xdr:rowOff>0</xdr:rowOff>
    </xdr:to>
    <xdr:sp textlink="hc">
      <xdr:nvSpPr>
        <xdr:cNvPr id="4" name="TextBox 24"/>
        <xdr:cNvSpPr txBox="1">
          <a:spLocks noChangeArrowheads="1"/>
        </xdr:cNvSpPr>
      </xdr:nvSpPr>
      <xdr:spPr>
        <a:xfrm>
          <a:off x="2990850" y="2409825"/>
          <a:ext cx="2762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fld id="{9a99d559-bebd-4c61-a19f-0f06d09a7ac9}" type="TxLink">
            <a:rPr lang="en-US" cap="none" sz="900" b="0" i="0" u="none" baseline="0">
              <a:solidFill>
                <a:srgbClr val="0000FF"/>
              </a:solidFill>
            </a:rPr>
            <a:t>14</a:t>
          </a:fld>
        </a:p>
      </xdr:txBody>
    </xdr:sp>
    <xdr:clientData/>
  </xdr:twoCellAnchor>
  <xdr:twoCellAnchor>
    <xdr:from>
      <xdr:col>3</xdr:col>
      <xdr:colOff>390525</xdr:colOff>
      <xdr:row>17</xdr:row>
      <xdr:rowOff>47625</xdr:rowOff>
    </xdr:from>
    <xdr:to>
      <xdr:col>3</xdr:col>
      <xdr:colOff>619125</xdr:colOff>
      <xdr:row>18</xdr:row>
      <xdr:rowOff>152400</xdr:rowOff>
    </xdr:to>
    <xdr:sp textlink="Hth">
      <xdr:nvSpPr>
        <xdr:cNvPr id="5" name="TextBox 25"/>
        <xdr:cNvSpPr txBox="1">
          <a:spLocks noChangeArrowheads="1"/>
        </xdr:cNvSpPr>
      </xdr:nvSpPr>
      <xdr:spPr>
        <a:xfrm>
          <a:off x="2895600" y="3343275"/>
          <a:ext cx="228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fld id="{d2ee3023-164e-4587-a005-5d1292e1e0e0}" type="TxLink">
            <a:rPr lang="en-US" cap="none" sz="900" b="0" i="0" u="none" baseline="0">
              <a:latin typeface=".VnArial"/>
              <a:ea typeface=".VnArial"/>
              <a:cs typeface=".VnArial"/>
            </a:rPr>
            <a:t>131.0</a:t>
          </a:fld>
        </a:p>
      </xdr:txBody>
    </xdr:sp>
    <xdr:clientData/>
  </xdr:twoCellAnchor>
  <xdr:twoCellAnchor>
    <xdr:from>
      <xdr:col>1</xdr:col>
      <xdr:colOff>657225</xdr:colOff>
      <xdr:row>12</xdr:row>
      <xdr:rowOff>104775</xdr:rowOff>
    </xdr:from>
    <xdr:to>
      <xdr:col>2</xdr:col>
      <xdr:colOff>438150</xdr:colOff>
      <xdr:row>13</xdr:row>
      <xdr:rowOff>76200</xdr:rowOff>
    </xdr:to>
    <xdr:sp textlink="lk">
      <xdr:nvSpPr>
        <xdr:cNvPr id="6" name="TextBox 26"/>
        <xdr:cNvSpPr txBox="1">
          <a:spLocks noChangeArrowheads="1"/>
        </xdr:cNvSpPr>
      </xdr:nvSpPr>
      <xdr:spPr>
        <a:xfrm>
          <a:off x="1371600" y="2495550"/>
          <a:ext cx="695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13f507f0-40c8-4271-a8a6-9351b764a2d1}" type="TxLink">
            <a:rPr lang="en-US" cap="none" sz="1000" b="0" i="0" u="none" baseline="0">
              <a:solidFill>
                <a:srgbClr val="0000FF"/>
              </a:solidFill>
            </a:rPr>
            <a:t>105</a:t>
          </a:fld>
        </a:p>
      </xdr:txBody>
    </xdr:sp>
    <xdr:clientData/>
  </xdr:twoCellAnchor>
  <xdr:twoCellAnchor>
    <xdr:from>
      <xdr:col>3</xdr:col>
      <xdr:colOff>95250</xdr:colOff>
      <xdr:row>12</xdr:row>
      <xdr:rowOff>76200</xdr:rowOff>
    </xdr:from>
    <xdr:to>
      <xdr:col>3</xdr:col>
      <xdr:colOff>476250</xdr:colOff>
      <xdr:row>13</xdr:row>
      <xdr:rowOff>76200</xdr:rowOff>
    </xdr:to>
    <xdr:sp textlink="cp">
      <xdr:nvSpPr>
        <xdr:cNvPr id="7" name="TextBox 27"/>
        <xdr:cNvSpPr txBox="1">
          <a:spLocks noChangeArrowheads="1"/>
        </xdr:cNvSpPr>
      </xdr:nvSpPr>
      <xdr:spPr>
        <a:xfrm>
          <a:off x="2600325" y="24669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fac3f0cf-e12f-4ce4-b188-bf41a1599e40}" type="TxLink">
            <a:rPr lang="en-US" cap="none" sz="1000" b="0" i="0" u="none" baseline="0">
              <a:latin typeface=".VnArial"/>
              <a:ea typeface=".VnArial"/>
              <a:cs typeface=".VnArial"/>
            </a:rPr>
            <a:t>105</a:t>
          </a:fld>
        </a:p>
      </xdr:txBody>
    </xdr:sp>
    <xdr:clientData/>
  </xdr:twoCellAnchor>
  <xdr:twoCellAnchor>
    <xdr:from>
      <xdr:col>2</xdr:col>
      <xdr:colOff>809625</xdr:colOff>
      <xdr:row>15</xdr:row>
      <xdr:rowOff>0</xdr:rowOff>
    </xdr:from>
    <xdr:to>
      <xdr:col>3</xdr:col>
      <xdr:colOff>314325</xdr:colOff>
      <xdr:row>15</xdr:row>
      <xdr:rowOff>142875</xdr:rowOff>
    </xdr:to>
    <xdr:sp textlink="s">
      <xdr:nvSpPr>
        <xdr:cNvPr id="8" name="TextBox 28"/>
        <xdr:cNvSpPr txBox="1">
          <a:spLocks noChangeArrowheads="1"/>
        </xdr:cNvSpPr>
      </xdr:nvSpPr>
      <xdr:spPr>
        <a:xfrm>
          <a:off x="2438400" y="2933700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c77a8d3d-a1e3-481b-9d7e-8386a9432b25}" type="TxLink">
            <a:rPr lang="en-US" cap="none" sz="900" b="0" i="0" u="none" baseline="0">
              <a:latin typeface=".VnArial"/>
              <a:ea typeface=".VnArial"/>
              <a:cs typeface=".VnArial"/>
            </a:rPr>
            <a:t>26.0</a:t>
          </a:fld>
        </a:p>
      </xdr:txBody>
    </xdr:sp>
    <xdr:clientData/>
  </xdr:twoCellAnchor>
  <xdr:twoCellAnchor>
    <xdr:from>
      <xdr:col>0</xdr:col>
      <xdr:colOff>695325</xdr:colOff>
      <xdr:row>17</xdr:row>
      <xdr:rowOff>114300</xdr:rowOff>
    </xdr:from>
    <xdr:to>
      <xdr:col>1</xdr:col>
      <xdr:colOff>47625</xdr:colOff>
      <xdr:row>19</xdr:row>
      <xdr:rowOff>57150</xdr:rowOff>
    </xdr:to>
    <xdr:sp textlink="hk">
      <xdr:nvSpPr>
        <xdr:cNvPr id="9" name="TextBox 29"/>
        <xdr:cNvSpPr txBox="1">
          <a:spLocks noChangeArrowheads="1"/>
        </xdr:cNvSpPr>
      </xdr:nvSpPr>
      <xdr:spPr>
        <a:xfrm>
          <a:off x="695325" y="3409950"/>
          <a:ext cx="66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fld id="{572d05b9-36de-46de-9dcc-e105c412fcb3}" type="TxLink">
            <a:rPr lang="en-US" cap="none" sz="900" b="0" i="0" u="none" baseline="0">
              <a:solidFill>
                <a:srgbClr val="0000FF"/>
              </a:solidFill>
            </a:rPr>
            <a:t>14</a:t>
          </a:fld>
        </a:p>
      </xdr:txBody>
    </xdr:sp>
    <xdr:clientData/>
  </xdr:twoCellAnchor>
  <xdr:twoCellAnchor>
    <xdr:from>
      <xdr:col>1</xdr:col>
      <xdr:colOff>257175</xdr:colOff>
      <xdr:row>17</xdr:row>
      <xdr:rowOff>0</xdr:rowOff>
    </xdr:from>
    <xdr:to>
      <xdr:col>1</xdr:col>
      <xdr:colOff>447675</xdr:colOff>
      <xdr:row>18</xdr:row>
      <xdr:rowOff>9525</xdr:rowOff>
    </xdr:to>
    <xdr:sp textlink="hv">
      <xdr:nvSpPr>
        <xdr:cNvPr id="10" name="TextBox 30"/>
        <xdr:cNvSpPr txBox="1">
          <a:spLocks noChangeArrowheads="1"/>
        </xdr:cNvSpPr>
      </xdr:nvSpPr>
      <xdr:spPr>
        <a:xfrm>
          <a:off x="971550" y="3295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fld id="{bc2845dd-796a-4bab-835c-3f28249b6d9a}" type="TxLink">
            <a:rPr lang="en-US" cap="none" sz="800" b="0" i="0" u="none" baseline="0">
              <a:solidFill>
                <a:srgbClr val="0000FF"/>
              </a:solidFill>
            </a:rPr>
            <a:t>10</a:t>
          </a:fld>
        </a:p>
      </xdr:txBody>
    </xdr:sp>
    <xdr:clientData/>
  </xdr:twoCellAnchor>
  <xdr:twoCellAnchor>
    <xdr:from>
      <xdr:col>1</xdr:col>
      <xdr:colOff>847725</xdr:colOff>
      <xdr:row>17</xdr:row>
      <xdr:rowOff>104775</xdr:rowOff>
    </xdr:from>
    <xdr:to>
      <xdr:col>2</xdr:col>
      <xdr:colOff>209550</xdr:colOff>
      <xdr:row>18</xdr:row>
      <xdr:rowOff>66675</xdr:rowOff>
    </xdr:to>
    <xdr:sp textlink="bv">
      <xdr:nvSpPr>
        <xdr:cNvPr id="11" name="TextBox 31"/>
        <xdr:cNvSpPr txBox="1">
          <a:spLocks noChangeArrowheads="1"/>
        </xdr:cNvSpPr>
      </xdr:nvSpPr>
      <xdr:spPr>
        <a:xfrm>
          <a:off x="1562100" y="34004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9866372c-5f13-4208-8159-4b1508e3064b}" type="TxLink">
            <a:rPr lang="en-US" cap="none" sz="800" b="0" i="0" u="none" baseline="0">
              <a:solidFill>
                <a:srgbClr val="0000FF"/>
              </a:solidFill>
            </a:rPr>
            <a:t>10</a:t>
          </a:fld>
        </a:p>
      </xdr:txBody>
    </xdr:sp>
    <xdr:clientData/>
  </xdr:twoCellAnchor>
  <xdr:twoCellAnchor>
    <xdr:from>
      <xdr:col>1</xdr:col>
      <xdr:colOff>542925</xdr:colOff>
      <xdr:row>18</xdr:row>
      <xdr:rowOff>133350</xdr:rowOff>
    </xdr:from>
    <xdr:to>
      <xdr:col>1</xdr:col>
      <xdr:colOff>733425</xdr:colOff>
      <xdr:row>20</xdr:row>
      <xdr:rowOff>0</xdr:rowOff>
    </xdr:to>
    <xdr:sp textlink="yoth">
      <xdr:nvSpPr>
        <xdr:cNvPr id="12" name="TextBox 32"/>
        <xdr:cNvSpPr txBox="1">
          <a:spLocks noChangeArrowheads="1"/>
        </xdr:cNvSpPr>
      </xdr:nvSpPr>
      <xdr:spPr>
        <a:xfrm>
          <a:off x="1257300" y="3609975"/>
          <a:ext cx="190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fld id="{0cd131c2-4581-4f81-932d-f6e29558b43b}" type="TxLink">
            <a:rPr lang="en-US" cap="none" sz="800" b="0" i="0" u="none" baseline="0">
              <a:solidFill>
                <a:srgbClr val="3366FF"/>
              </a:solidFill>
              <a:latin typeface=".VnArial"/>
              <a:ea typeface=".VnArial"/>
              <a:cs typeface=".VnArial"/>
            </a:rPr>
            <a:t>63.7</a:t>
          </a:fld>
        </a:p>
      </xdr:txBody>
    </xdr:sp>
    <xdr:clientData/>
  </xdr:twoCellAnchor>
  <xdr:twoCellAnchor>
    <xdr:from>
      <xdr:col>3</xdr:col>
      <xdr:colOff>57150</xdr:colOff>
      <xdr:row>20</xdr:row>
      <xdr:rowOff>28575</xdr:rowOff>
    </xdr:from>
    <xdr:to>
      <xdr:col>3</xdr:col>
      <xdr:colOff>238125</xdr:colOff>
      <xdr:row>21</xdr:row>
      <xdr:rowOff>142875</xdr:rowOff>
    </xdr:to>
    <xdr:sp textlink="yolh">
      <xdr:nvSpPr>
        <xdr:cNvPr id="13" name="TextBox 33"/>
        <xdr:cNvSpPr txBox="1">
          <a:spLocks noChangeArrowheads="1"/>
        </xdr:cNvSpPr>
      </xdr:nvSpPr>
      <xdr:spPr>
        <a:xfrm>
          <a:off x="2562225" y="3867150"/>
          <a:ext cx="1809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fld id="{8ccf264b-3879-4298-b14d-6841a3ae1fea}" type="TxLink">
            <a:rPr lang="en-US" cap="none" sz="900" b="0" i="0" u="none" baseline="0">
              <a:latin typeface=".VnArial"/>
              <a:ea typeface=".VnArial"/>
              <a:cs typeface=".VnArial"/>
            </a:rPr>
            <a:t>110.9</a:t>
          </a:fld>
        </a:p>
      </xdr:txBody>
    </xdr:sp>
    <xdr:clientData/>
  </xdr:twoCellAnchor>
  <xdr:twoCellAnchor>
    <xdr:from>
      <xdr:col>2</xdr:col>
      <xdr:colOff>390525</xdr:colOff>
      <xdr:row>19</xdr:row>
      <xdr:rowOff>19050</xdr:rowOff>
    </xdr:from>
    <xdr:to>
      <xdr:col>2</xdr:col>
      <xdr:colOff>590550</xdr:colOff>
      <xdr:row>20</xdr:row>
      <xdr:rowOff>0</xdr:rowOff>
    </xdr:to>
    <xdr:sp textlink="Z">
      <xdr:nvSpPr>
        <xdr:cNvPr id="14" name="TextBox 35"/>
        <xdr:cNvSpPr txBox="1">
          <a:spLocks noChangeArrowheads="1"/>
        </xdr:cNvSpPr>
      </xdr:nvSpPr>
      <xdr:spPr>
        <a:xfrm>
          <a:off x="2019300" y="367665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fld id="{d6a53a1c-ee52-4c20-8bb0-2be9d891053b}" type="TxLink">
            <a:rPr lang="en-US" cap="none" sz="800" b="0" i="0" u="none" baseline="0">
              <a:latin typeface=".VnArial"/>
              <a:ea typeface=".VnArial"/>
              <a:cs typeface=".VnArial"/>
            </a:rPr>
            <a:t>47.2</a:t>
          </a:fld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NTINH\SOLIEU\V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&amp;E"/>
      <sheetName val="Thep hinh"/>
      <sheetName val="In bang thep hinh"/>
      <sheetName val="Cap15.2"/>
      <sheetName val="He USA"/>
      <sheetName val="Thuoc N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7"/>
      <sheetName val="Sheet6"/>
    </sheetNames>
    <sheetDataSet>
      <sheetData sheetId="0">
        <row r="8">
          <cell r="E8">
            <v>200</v>
          </cell>
          <cell r="F8">
            <v>250</v>
          </cell>
          <cell r="G8">
            <v>300</v>
          </cell>
          <cell r="H8">
            <v>400</v>
          </cell>
          <cell r="I8">
            <v>450</v>
          </cell>
          <cell r="J8">
            <v>500</v>
          </cell>
        </row>
        <row r="10">
          <cell r="E10">
            <v>78</v>
          </cell>
          <cell r="F10">
            <v>100</v>
          </cell>
          <cell r="G10">
            <v>125</v>
          </cell>
          <cell r="H10">
            <v>165</v>
          </cell>
          <cell r="I10">
            <v>185</v>
          </cell>
          <cell r="J10">
            <v>205</v>
          </cell>
        </row>
        <row r="11">
          <cell r="E11">
            <v>97</v>
          </cell>
          <cell r="F11">
            <v>125</v>
          </cell>
          <cell r="G11">
            <v>150</v>
          </cell>
          <cell r="H11">
            <v>205</v>
          </cell>
          <cell r="I11">
            <v>230</v>
          </cell>
          <cell r="J11">
            <v>255</v>
          </cell>
        </row>
        <row r="12">
          <cell r="E12">
            <v>24</v>
          </cell>
          <cell r="F12">
            <v>28</v>
          </cell>
          <cell r="G12">
            <v>32</v>
          </cell>
          <cell r="H12">
            <v>37</v>
          </cell>
          <cell r="I12">
            <v>39.5</v>
          </cell>
          <cell r="J12">
            <v>42</v>
          </cell>
        </row>
        <row r="13">
          <cell r="E13">
            <v>6.5</v>
          </cell>
          <cell r="F13">
            <v>8</v>
          </cell>
          <cell r="G13">
            <v>9.5</v>
          </cell>
          <cell r="H13">
            <v>11</v>
          </cell>
          <cell r="I13">
            <v>11.75</v>
          </cell>
          <cell r="J13">
            <v>12.5</v>
          </cell>
        </row>
        <row r="15">
          <cell r="E15">
            <v>72</v>
          </cell>
          <cell r="F15">
            <v>95</v>
          </cell>
          <cell r="G15">
            <v>115</v>
          </cell>
          <cell r="H15">
            <v>150</v>
          </cell>
          <cell r="I15">
            <v>170</v>
          </cell>
          <cell r="J15">
            <v>190</v>
          </cell>
        </row>
        <row r="16">
          <cell r="E16">
            <v>90</v>
          </cell>
          <cell r="F16">
            <v>115</v>
          </cell>
          <cell r="G16">
            <v>140</v>
          </cell>
          <cell r="H16">
            <v>190</v>
          </cell>
          <cell r="I16">
            <v>215</v>
          </cell>
          <cell r="J16">
            <v>240</v>
          </cell>
        </row>
        <row r="17">
          <cell r="E17">
            <v>24</v>
          </cell>
          <cell r="F17">
            <v>28</v>
          </cell>
          <cell r="G17">
            <v>32</v>
          </cell>
          <cell r="H17">
            <v>37</v>
          </cell>
          <cell r="I17">
            <v>39.5</v>
          </cell>
          <cell r="J17">
            <v>42</v>
          </cell>
        </row>
        <row r="18">
          <cell r="E18">
            <v>6.5</v>
          </cell>
          <cell r="F18">
            <v>8</v>
          </cell>
          <cell r="G18">
            <v>9.5</v>
          </cell>
          <cell r="H18">
            <v>11</v>
          </cell>
          <cell r="I18">
            <v>11.75</v>
          </cell>
          <cell r="J18">
            <v>12.5</v>
          </cell>
        </row>
        <row r="20">
          <cell r="G20">
            <v>135</v>
          </cell>
          <cell r="H20">
            <v>190</v>
          </cell>
          <cell r="I20">
            <v>217.5</v>
          </cell>
          <cell r="J20">
            <v>245</v>
          </cell>
        </row>
        <row r="21">
          <cell r="G21">
            <v>165</v>
          </cell>
          <cell r="H21">
            <v>235</v>
          </cell>
          <cell r="I21">
            <v>272.5</v>
          </cell>
          <cell r="J21">
            <v>310</v>
          </cell>
        </row>
        <row r="22">
          <cell r="G22">
            <v>105</v>
          </cell>
          <cell r="H22">
            <v>140</v>
          </cell>
          <cell r="I22">
            <v>157.5</v>
          </cell>
          <cell r="J22">
            <v>175</v>
          </cell>
        </row>
        <row r="23">
          <cell r="G23">
            <v>20</v>
          </cell>
          <cell r="H23">
            <v>24</v>
          </cell>
          <cell r="I23">
            <v>25.5</v>
          </cell>
          <cell r="J23">
            <v>27</v>
          </cell>
        </row>
        <row r="24">
          <cell r="G24">
            <v>13.5</v>
          </cell>
          <cell r="H24">
            <v>16</v>
          </cell>
          <cell r="I24">
            <v>17</v>
          </cell>
          <cell r="J24">
            <v>18</v>
          </cell>
        </row>
        <row r="25">
          <cell r="E25">
            <v>32</v>
          </cell>
          <cell r="F25">
            <v>38</v>
          </cell>
          <cell r="G25">
            <v>44</v>
          </cell>
          <cell r="H25">
            <v>53</v>
          </cell>
          <cell r="I25">
            <v>59</v>
          </cell>
          <cell r="J25">
            <v>65</v>
          </cell>
        </row>
        <row r="27">
          <cell r="G27">
            <v>125</v>
          </cell>
          <cell r="H27">
            <v>175</v>
          </cell>
          <cell r="I27">
            <v>200.2</v>
          </cell>
          <cell r="J27">
            <v>225.4</v>
          </cell>
        </row>
        <row r="28">
          <cell r="G28">
            <v>155</v>
          </cell>
          <cell r="H28">
            <v>215</v>
          </cell>
          <cell r="I28">
            <v>250</v>
          </cell>
          <cell r="J28">
            <v>285</v>
          </cell>
        </row>
        <row r="29">
          <cell r="G29">
            <v>100</v>
          </cell>
          <cell r="H29">
            <v>130</v>
          </cell>
          <cell r="I29">
            <v>145</v>
          </cell>
          <cell r="J29">
            <v>160</v>
          </cell>
        </row>
        <row r="30">
          <cell r="G30">
            <v>20</v>
          </cell>
          <cell r="H30">
            <v>24</v>
          </cell>
          <cell r="I30">
            <v>25.5</v>
          </cell>
          <cell r="J30">
            <v>27</v>
          </cell>
        </row>
        <row r="31">
          <cell r="G31">
            <v>13.5</v>
          </cell>
          <cell r="H31">
            <v>16</v>
          </cell>
          <cell r="I31">
            <v>17</v>
          </cell>
          <cell r="J31">
            <v>18</v>
          </cell>
        </row>
        <row r="32">
          <cell r="E32">
            <v>32</v>
          </cell>
          <cell r="F32">
            <v>38</v>
          </cell>
          <cell r="G32">
            <v>44</v>
          </cell>
          <cell r="H32">
            <v>53</v>
          </cell>
          <cell r="I32">
            <v>59</v>
          </cell>
          <cell r="J32">
            <v>65</v>
          </cell>
        </row>
        <row r="34">
          <cell r="E34">
            <v>65</v>
          </cell>
          <cell r="G34">
            <v>105</v>
          </cell>
          <cell r="J34">
            <v>135</v>
          </cell>
        </row>
        <row r="35">
          <cell r="E35">
            <v>80</v>
          </cell>
          <cell r="G35">
            <v>125</v>
          </cell>
          <cell r="J35">
            <v>170</v>
          </cell>
        </row>
        <row r="37">
          <cell r="E37">
            <v>265000</v>
          </cell>
          <cell r="F37">
            <v>290000</v>
          </cell>
          <cell r="G37">
            <v>315000</v>
          </cell>
          <cell r="H37">
            <v>350000</v>
          </cell>
          <cell r="I37">
            <v>365000</v>
          </cell>
          <cell r="J37">
            <v>380000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vmlDrawing" Target="../drawings/vmlDrawing2.vml" /><Relationship Id="rId22" Type="http://schemas.openxmlformats.org/officeDocument/2006/relationships/drawing" Target="../drawings/drawing3.xml" /><Relationship Id="rId2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9">
      <selection activeCell="G37" sqref="G37"/>
    </sheetView>
  </sheetViews>
  <sheetFormatPr defaultColWidth="8.796875" defaultRowHeight="14.25"/>
  <cols>
    <col min="1" max="1" width="9.5" style="0" customWidth="1"/>
    <col min="2" max="2" width="35" style="0" customWidth="1"/>
    <col min="3" max="3" width="10.19921875" style="0" customWidth="1"/>
    <col min="4" max="4" width="12" style="0" customWidth="1"/>
    <col min="5" max="7" width="10.19921875" style="0" customWidth="1"/>
    <col min="8" max="8" width="12.59765625" style="0" customWidth="1"/>
    <col min="9" max="16384" width="10.19921875" style="0" customWidth="1"/>
  </cols>
  <sheetData>
    <row r="1" spans="1:10" ht="21.7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7.25">
      <c r="A3" s="64"/>
      <c r="B3" s="65" t="s">
        <v>1</v>
      </c>
      <c r="C3" s="64"/>
      <c r="D3" s="110" t="s">
        <v>182</v>
      </c>
      <c r="E3" s="64"/>
      <c r="F3" s="64"/>
      <c r="G3" s="64"/>
      <c r="H3" s="64"/>
      <c r="I3" s="64"/>
      <c r="J3" s="64"/>
    </row>
    <row r="4" spans="1:10" ht="17.25">
      <c r="A4" s="64"/>
      <c r="B4" s="65" t="s">
        <v>2</v>
      </c>
      <c r="C4" s="64"/>
      <c r="D4" s="111" t="s">
        <v>181</v>
      </c>
      <c r="E4" s="64"/>
      <c r="F4" s="64"/>
      <c r="G4" s="64"/>
      <c r="H4" s="64"/>
      <c r="I4" s="64"/>
      <c r="J4" s="64"/>
    </row>
    <row r="5" spans="1:10" ht="13.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7.25">
      <c r="A6" s="66" t="s">
        <v>3</v>
      </c>
      <c r="B6" s="64"/>
      <c r="C6" s="64"/>
      <c r="D6" s="64" t="s">
        <v>119</v>
      </c>
      <c r="E6" s="64"/>
      <c r="F6" s="64"/>
      <c r="G6" s="64"/>
      <c r="H6" s="64"/>
      <c r="I6" s="64"/>
      <c r="J6" s="64"/>
    </row>
    <row r="7" spans="1:10" ht="13.5">
      <c r="A7" s="67"/>
      <c r="B7" s="67"/>
      <c r="C7" s="67"/>
      <c r="D7" s="67"/>
      <c r="E7" s="68"/>
      <c r="F7" s="68"/>
      <c r="G7" s="68"/>
      <c r="H7" s="64"/>
      <c r="I7" s="64"/>
      <c r="J7" s="64"/>
    </row>
    <row r="8" spans="1:10" ht="58.5" customHeight="1">
      <c r="A8" s="69" t="s">
        <v>170</v>
      </c>
      <c r="B8" s="70"/>
      <c r="C8" s="71" t="s">
        <v>171</v>
      </c>
      <c r="D8" s="72" t="s">
        <v>155</v>
      </c>
      <c r="E8" s="73"/>
      <c r="F8" s="73"/>
      <c r="G8" s="74"/>
      <c r="H8" s="64"/>
      <c r="I8" s="64"/>
      <c r="J8" s="64"/>
    </row>
    <row r="9" spans="1:10" ht="14.25">
      <c r="A9" s="75" t="s">
        <v>176</v>
      </c>
      <c r="B9" s="76"/>
      <c r="C9" s="76"/>
      <c r="D9" s="77"/>
      <c r="E9" s="68"/>
      <c r="F9" s="68"/>
      <c r="G9" s="68"/>
      <c r="H9" s="64"/>
      <c r="I9" s="64"/>
      <c r="J9" s="64"/>
    </row>
    <row r="10" spans="1:10" ht="14.25">
      <c r="A10" s="78"/>
      <c r="B10" s="79" t="s">
        <v>172</v>
      </c>
      <c r="C10" s="76"/>
      <c r="D10" s="77"/>
      <c r="E10" s="68"/>
      <c r="F10" s="68"/>
      <c r="G10" s="68"/>
      <c r="H10" s="64"/>
      <c r="I10" s="64"/>
      <c r="J10" s="64"/>
    </row>
    <row r="11" spans="1:10" ht="14.25">
      <c r="A11" s="78"/>
      <c r="B11" s="80" t="s">
        <v>5</v>
      </c>
      <c r="C11" s="81" t="s">
        <v>6</v>
      </c>
      <c r="D11" s="107">
        <v>32</v>
      </c>
      <c r="E11" s="68"/>
      <c r="F11" s="68"/>
      <c r="G11" s="68"/>
      <c r="H11" s="64"/>
      <c r="I11" s="64"/>
      <c r="J11" s="64"/>
    </row>
    <row r="12" spans="1:10" ht="14.25">
      <c r="A12" s="78"/>
      <c r="B12" s="80" t="s">
        <v>7</v>
      </c>
      <c r="C12" s="81" t="s">
        <v>8</v>
      </c>
      <c r="D12" s="107">
        <v>3</v>
      </c>
      <c r="E12" s="82"/>
      <c r="F12" s="68"/>
      <c r="G12" s="83"/>
      <c r="H12" s="64"/>
      <c r="I12" s="64"/>
      <c r="J12" s="64"/>
    </row>
    <row r="13" spans="1:10" ht="14.25">
      <c r="A13" s="78"/>
      <c r="B13" s="79" t="s">
        <v>173</v>
      </c>
      <c r="C13" s="81"/>
      <c r="D13" s="107"/>
      <c r="E13" s="84"/>
      <c r="F13" s="68"/>
      <c r="G13" s="68"/>
      <c r="H13" s="64"/>
      <c r="I13" s="64"/>
      <c r="J13" s="64"/>
    </row>
    <row r="14" spans="1:14" ht="14.25">
      <c r="A14" s="78"/>
      <c r="B14" s="80" t="s">
        <v>5</v>
      </c>
      <c r="C14" s="81" t="s">
        <v>9</v>
      </c>
      <c r="D14" s="107">
        <v>0</v>
      </c>
      <c r="E14" s="84"/>
      <c r="F14" s="68"/>
      <c r="G14" s="68"/>
      <c r="H14" s="68"/>
      <c r="I14" s="68"/>
      <c r="J14" s="68"/>
      <c r="K14" s="43"/>
      <c r="L14" s="43"/>
      <c r="M14" s="43"/>
      <c r="N14" s="43"/>
    </row>
    <row r="15" spans="1:14" ht="14.25">
      <c r="A15" s="78"/>
      <c r="B15" s="80" t="s">
        <v>7</v>
      </c>
      <c r="C15" s="81" t="s">
        <v>10</v>
      </c>
      <c r="D15" s="107">
        <v>0</v>
      </c>
      <c r="E15" s="82"/>
      <c r="F15" s="68"/>
      <c r="G15" s="83"/>
      <c r="H15" s="112"/>
      <c r="I15" s="68"/>
      <c r="J15" s="68"/>
      <c r="K15" s="43"/>
      <c r="L15" s="43"/>
      <c r="M15" s="43"/>
      <c r="N15" s="43"/>
    </row>
    <row r="16" spans="1:14" ht="14.25">
      <c r="A16" s="78"/>
      <c r="B16" s="79" t="s">
        <v>174</v>
      </c>
      <c r="C16" s="81"/>
      <c r="D16" s="107"/>
      <c r="E16" s="84"/>
      <c r="F16" s="68"/>
      <c r="G16" s="68"/>
      <c r="H16" s="68"/>
      <c r="I16" s="68"/>
      <c r="J16" s="68"/>
      <c r="K16" s="43"/>
      <c r="L16" s="43"/>
      <c r="M16" s="43"/>
      <c r="N16" s="43"/>
    </row>
    <row r="17" spans="1:14" ht="14.25">
      <c r="A17" s="78"/>
      <c r="B17" s="80" t="s">
        <v>5</v>
      </c>
      <c r="C17" s="81" t="s">
        <v>11</v>
      </c>
      <c r="D17" s="107"/>
      <c r="E17" s="68"/>
      <c r="F17" s="68"/>
      <c r="G17" s="68"/>
      <c r="H17" s="68"/>
      <c r="I17" s="113"/>
      <c r="J17" s="68"/>
      <c r="K17" s="43"/>
      <c r="L17" s="56"/>
      <c r="M17" s="43"/>
      <c r="N17" s="43"/>
    </row>
    <row r="18" spans="1:14" ht="14.25">
      <c r="A18" s="85"/>
      <c r="B18" s="80" t="s">
        <v>7</v>
      </c>
      <c r="C18" s="81" t="s">
        <v>12</v>
      </c>
      <c r="D18" s="107"/>
      <c r="E18" s="82"/>
      <c r="F18" s="68"/>
      <c r="G18" s="83"/>
      <c r="H18" s="68"/>
      <c r="I18" s="113"/>
      <c r="J18" s="68"/>
      <c r="K18" s="43"/>
      <c r="L18" s="56"/>
      <c r="M18" s="43"/>
      <c r="N18" s="43"/>
    </row>
    <row r="19" spans="1:14" ht="14.25">
      <c r="A19" s="86" t="s">
        <v>177</v>
      </c>
      <c r="B19" s="87" t="s">
        <v>14</v>
      </c>
      <c r="C19" s="88" t="s">
        <v>15</v>
      </c>
      <c r="D19" s="108">
        <v>125</v>
      </c>
      <c r="E19" s="82"/>
      <c r="F19" s="68"/>
      <c r="G19" s="89"/>
      <c r="H19" s="68"/>
      <c r="I19" s="113"/>
      <c r="J19" s="68"/>
      <c r="K19" s="43"/>
      <c r="L19" s="56"/>
      <c r="M19" s="43"/>
      <c r="N19" s="43"/>
    </row>
    <row r="20" spans="1:14" ht="14.25">
      <c r="A20" s="90"/>
      <c r="B20" s="91" t="s">
        <v>16</v>
      </c>
      <c r="C20" s="92" t="s">
        <v>17</v>
      </c>
      <c r="D20" s="109">
        <v>1.8</v>
      </c>
      <c r="E20" s="68"/>
      <c r="F20" s="68"/>
      <c r="G20" s="68"/>
      <c r="H20" s="68"/>
      <c r="I20" s="113"/>
      <c r="J20" s="68"/>
      <c r="K20" s="43"/>
      <c r="L20" s="56"/>
      <c r="M20" s="43"/>
      <c r="N20" s="43"/>
    </row>
    <row r="21" spans="1:14" ht="14.25">
      <c r="A21" s="75" t="s">
        <v>178</v>
      </c>
      <c r="B21" s="93" t="s">
        <v>175</v>
      </c>
      <c r="C21" s="81"/>
      <c r="D21" s="107"/>
      <c r="E21" s="82"/>
      <c r="F21" s="68"/>
      <c r="G21" s="68"/>
      <c r="H21" s="68"/>
      <c r="I21" s="113"/>
      <c r="J21" s="68"/>
      <c r="K21" s="43"/>
      <c r="L21" s="56"/>
      <c r="M21" s="43"/>
      <c r="N21" s="43"/>
    </row>
    <row r="22" spans="1:14" ht="14.25">
      <c r="A22" s="94"/>
      <c r="B22" s="80" t="s">
        <v>18</v>
      </c>
      <c r="C22" s="81" t="s">
        <v>19</v>
      </c>
      <c r="D22" s="107">
        <v>36</v>
      </c>
      <c r="E22" s="82"/>
      <c r="F22" s="68"/>
      <c r="G22" s="83"/>
      <c r="H22" s="68"/>
      <c r="I22" s="68"/>
      <c r="J22" s="68"/>
      <c r="K22" s="43"/>
      <c r="L22" s="56"/>
      <c r="M22" s="43"/>
      <c r="N22" s="43"/>
    </row>
    <row r="23" spans="1:14" ht="15" customHeight="1">
      <c r="A23" s="94"/>
      <c r="B23" s="80" t="s">
        <v>20</v>
      </c>
      <c r="C23" s="81" t="s">
        <v>21</v>
      </c>
      <c r="D23" s="107">
        <v>3</v>
      </c>
      <c r="E23" s="68"/>
      <c r="F23" s="68"/>
      <c r="G23" s="68"/>
      <c r="H23" s="68"/>
      <c r="I23" s="114"/>
      <c r="J23" s="68"/>
      <c r="K23" s="43"/>
      <c r="L23" s="56"/>
      <c r="M23" s="43"/>
      <c r="N23" s="43"/>
    </row>
    <row r="24" spans="1:14" ht="14.25">
      <c r="A24" s="94"/>
      <c r="B24" s="80" t="s">
        <v>148</v>
      </c>
      <c r="C24" s="81" t="s">
        <v>149</v>
      </c>
      <c r="D24" s="107">
        <v>0</v>
      </c>
      <c r="E24" s="95"/>
      <c r="F24" s="68"/>
      <c r="G24" s="68"/>
      <c r="H24" s="68"/>
      <c r="I24" s="114"/>
      <c r="J24" s="68"/>
      <c r="K24" s="43"/>
      <c r="L24" s="56"/>
      <c r="M24" s="43"/>
      <c r="N24" s="43"/>
    </row>
    <row r="25" spans="1:14" ht="14.25">
      <c r="A25" s="94"/>
      <c r="B25" s="79" t="s">
        <v>173</v>
      </c>
      <c r="C25" s="81"/>
      <c r="D25" s="107"/>
      <c r="E25" s="82"/>
      <c r="F25" s="84"/>
      <c r="G25" s="83"/>
      <c r="H25" s="68"/>
      <c r="I25" s="114"/>
      <c r="J25" s="68"/>
      <c r="K25" s="43"/>
      <c r="L25" s="56"/>
      <c r="M25" s="43"/>
      <c r="N25" s="43"/>
    </row>
    <row r="26" spans="1:14" ht="14.25">
      <c r="A26" s="94"/>
      <c r="B26" s="80" t="s">
        <v>5</v>
      </c>
      <c r="C26" s="81" t="s">
        <v>22</v>
      </c>
      <c r="D26" s="107">
        <v>0</v>
      </c>
      <c r="E26" s="68"/>
      <c r="F26" s="68"/>
      <c r="G26" s="68"/>
      <c r="H26" s="68"/>
      <c r="I26" s="114"/>
      <c r="J26" s="68"/>
      <c r="K26" s="43"/>
      <c r="L26" s="56"/>
      <c r="M26" s="43"/>
      <c r="N26" s="43"/>
    </row>
    <row r="27" spans="1:14" ht="14.25">
      <c r="A27" s="94"/>
      <c r="B27" s="80" t="s">
        <v>7</v>
      </c>
      <c r="C27" s="81" t="s">
        <v>23</v>
      </c>
      <c r="D27" s="107">
        <v>0</v>
      </c>
      <c r="E27" s="96"/>
      <c r="F27" s="68"/>
      <c r="G27" s="68"/>
      <c r="H27" s="68"/>
      <c r="I27" s="114"/>
      <c r="J27" s="68"/>
      <c r="K27" s="43"/>
      <c r="L27" s="56"/>
      <c r="M27" s="43"/>
      <c r="N27" s="43"/>
    </row>
    <row r="28" spans="1:14" ht="14.25">
      <c r="A28" s="94"/>
      <c r="B28" s="80" t="s">
        <v>148</v>
      </c>
      <c r="C28" s="81" t="s">
        <v>150</v>
      </c>
      <c r="D28" s="107"/>
      <c r="E28" s="96"/>
      <c r="F28" s="68"/>
      <c r="G28" s="68"/>
      <c r="H28" s="68"/>
      <c r="I28" s="114"/>
      <c r="J28" s="68"/>
      <c r="K28" s="43"/>
      <c r="L28" s="56"/>
      <c r="M28" s="43"/>
      <c r="N28" s="43"/>
    </row>
    <row r="29" spans="1:14" ht="14.25">
      <c r="A29" s="94"/>
      <c r="B29" s="79" t="s">
        <v>174</v>
      </c>
      <c r="C29" s="97"/>
      <c r="D29" s="107"/>
      <c r="E29" s="96"/>
      <c r="F29" s="68"/>
      <c r="G29" s="83"/>
      <c r="H29" s="68"/>
      <c r="I29" s="114"/>
      <c r="J29" s="68"/>
      <c r="K29" s="43"/>
      <c r="L29" s="56"/>
      <c r="M29" s="43"/>
      <c r="N29" s="43"/>
    </row>
    <row r="30" spans="1:14" ht="14.25">
      <c r="A30" s="94"/>
      <c r="B30" s="80" t="s">
        <v>24</v>
      </c>
      <c r="C30" s="81" t="s">
        <v>25</v>
      </c>
      <c r="D30" s="107"/>
      <c r="E30" s="96"/>
      <c r="F30" s="68"/>
      <c r="G30" s="68"/>
      <c r="H30" s="68"/>
      <c r="I30" s="114"/>
      <c r="J30" s="68"/>
      <c r="K30" s="43"/>
      <c r="L30" s="56"/>
      <c r="M30" s="43"/>
      <c r="N30" s="43"/>
    </row>
    <row r="31" spans="1:14" ht="14.25">
      <c r="A31" s="94"/>
      <c r="B31" s="80" t="s">
        <v>7</v>
      </c>
      <c r="C31" s="81" t="s">
        <v>26</v>
      </c>
      <c r="D31" s="107"/>
      <c r="E31" s="96"/>
      <c r="F31" s="68"/>
      <c r="G31" s="68"/>
      <c r="H31" s="68"/>
      <c r="I31" s="114"/>
      <c r="J31" s="68"/>
      <c r="K31" s="43"/>
      <c r="L31" s="56"/>
      <c r="M31" s="43"/>
      <c r="N31" s="43"/>
    </row>
    <row r="32" spans="1:14" ht="14.25">
      <c r="A32" s="94"/>
      <c r="B32" s="80" t="s">
        <v>151</v>
      </c>
      <c r="C32" s="81" t="s">
        <v>152</v>
      </c>
      <c r="D32" s="107"/>
      <c r="E32" s="96"/>
      <c r="F32" s="68"/>
      <c r="G32" s="68"/>
      <c r="H32" s="68"/>
      <c r="I32" s="114"/>
      <c r="J32" s="68"/>
      <c r="K32" s="43"/>
      <c r="L32" s="33"/>
      <c r="M32" s="43"/>
      <c r="N32" s="43"/>
    </row>
    <row r="33" spans="1:14" ht="14.25">
      <c r="A33" s="98"/>
      <c r="B33" s="68"/>
      <c r="C33" s="68"/>
      <c r="D33" s="68"/>
      <c r="E33" s="82"/>
      <c r="F33" s="68"/>
      <c r="G33" s="83"/>
      <c r="H33" s="68"/>
      <c r="I33" s="114"/>
      <c r="J33" s="68"/>
      <c r="K33" s="43"/>
      <c r="L33" s="56"/>
      <c r="M33" s="43"/>
      <c r="N33" s="43"/>
    </row>
    <row r="34" spans="1:14" ht="16.5" thickBot="1">
      <c r="A34" s="99" t="s">
        <v>146</v>
      </c>
      <c r="B34" s="67"/>
      <c r="C34" s="67"/>
      <c r="D34" s="104"/>
      <c r="E34" s="68"/>
      <c r="F34" s="68"/>
      <c r="G34" s="68"/>
      <c r="H34" s="68"/>
      <c r="I34" s="114"/>
      <c r="J34" s="68"/>
      <c r="K34" s="43"/>
      <c r="L34" s="56"/>
      <c r="M34" s="43"/>
      <c r="N34" s="43"/>
    </row>
    <row r="35" spans="1:14" ht="15.75">
      <c r="A35" s="99"/>
      <c r="B35" s="100" t="s">
        <v>27</v>
      </c>
      <c r="C35" s="100" t="s">
        <v>4</v>
      </c>
      <c r="D35" s="103" t="s">
        <v>28</v>
      </c>
      <c r="E35" s="68"/>
      <c r="F35" s="68"/>
      <c r="G35" s="68"/>
      <c r="H35" s="68"/>
      <c r="I35" s="114"/>
      <c r="J35" s="68"/>
      <c r="K35" s="43"/>
      <c r="L35" s="43"/>
      <c r="M35" s="43"/>
      <c r="N35" s="43"/>
    </row>
    <row r="36" spans="1:14" ht="14.25">
      <c r="A36" s="76"/>
      <c r="B36" s="80" t="s">
        <v>29</v>
      </c>
      <c r="C36" s="79" t="s">
        <v>67</v>
      </c>
      <c r="D36" s="105">
        <v>400</v>
      </c>
      <c r="E36" s="68"/>
      <c r="F36" s="68"/>
      <c r="G36" s="68"/>
      <c r="H36" s="68"/>
      <c r="I36" s="114"/>
      <c r="J36" s="68"/>
      <c r="K36" s="43"/>
      <c r="L36" s="43"/>
      <c r="M36" s="43"/>
      <c r="N36" s="43"/>
    </row>
    <row r="37" spans="1:14" ht="19.5" customHeight="1">
      <c r="A37" s="76"/>
      <c r="B37" s="80" t="s">
        <v>30</v>
      </c>
      <c r="C37" s="101" t="s">
        <v>31</v>
      </c>
      <c r="D37" s="106">
        <v>105</v>
      </c>
      <c r="E37" s="68"/>
      <c r="F37" s="68"/>
      <c r="G37" s="68"/>
      <c r="H37" s="68"/>
      <c r="I37" s="114"/>
      <c r="J37" s="68"/>
      <c r="K37" s="43"/>
      <c r="L37" s="43"/>
      <c r="M37" s="43"/>
      <c r="N37" s="43"/>
    </row>
    <row r="38" spans="1:14" ht="14.25">
      <c r="A38" s="97"/>
      <c r="B38" s="80" t="s">
        <v>32</v>
      </c>
      <c r="C38" s="102" t="s">
        <v>33</v>
      </c>
      <c r="D38" s="106">
        <v>210</v>
      </c>
      <c r="E38" s="68"/>
      <c r="F38" s="68"/>
      <c r="G38" s="68"/>
      <c r="H38" s="68"/>
      <c r="I38" s="68"/>
      <c r="J38" s="68"/>
      <c r="K38" s="54"/>
      <c r="L38" s="43"/>
      <c r="M38" s="43"/>
      <c r="N38" s="43"/>
    </row>
    <row r="39" spans="1:14" ht="14.25">
      <c r="A39" s="97"/>
      <c r="B39" s="80" t="s">
        <v>63</v>
      </c>
      <c r="C39" s="102" t="s">
        <v>66</v>
      </c>
      <c r="D39" s="106">
        <v>14</v>
      </c>
      <c r="E39" s="68"/>
      <c r="F39" s="68"/>
      <c r="G39" s="68"/>
      <c r="H39" s="68"/>
      <c r="I39" s="68"/>
      <c r="J39" s="68"/>
      <c r="K39" s="54"/>
      <c r="L39" s="43"/>
      <c r="M39" s="57"/>
      <c r="N39" s="43"/>
    </row>
    <row r="40" spans="1:14" ht="14.25">
      <c r="A40" s="97"/>
      <c r="B40" s="80" t="s">
        <v>64</v>
      </c>
      <c r="C40" s="102" t="s">
        <v>65</v>
      </c>
      <c r="D40" s="106">
        <v>14</v>
      </c>
      <c r="E40" s="68"/>
      <c r="F40" s="68"/>
      <c r="G40" s="68"/>
      <c r="H40" s="68"/>
      <c r="I40" s="68"/>
      <c r="J40" s="68"/>
      <c r="K40" s="54"/>
      <c r="L40" s="43"/>
      <c r="M40" s="43"/>
      <c r="N40" s="43"/>
    </row>
    <row r="41" spans="1:14" ht="14.25">
      <c r="A41" s="97"/>
      <c r="B41" s="80" t="s">
        <v>34</v>
      </c>
      <c r="C41" s="102" t="s">
        <v>35</v>
      </c>
      <c r="D41" s="106">
        <v>10</v>
      </c>
      <c r="E41" s="68"/>
      <c r="F41" s="64"/>
      <c r="G41" s="68"/>
      <c r="H41" s="68"/>
      <c r="I41" s="68"/>
      <c r="J41" s="68"/>
      <c r="K41" s="54"/>
      <c r="L41" s="43"/>
      <c r="M41" s="43"/>
      <c r="N41" s="43"/>
    </row>
    <row r="42" spans="1:14" ht="14.25">
      <c r="A42" s="97"/>
      <c r="B42" s="80" t="s">
        <v>36</v>
      </c>
      <c r="C42" s="102" t="s">
        <v>37</v>
      </c>
      <c r="D42" s="106">
        <v>10</v>
      </c>
      <c r="E42" s="68"/>
      <c r="F42" s="64"/>
      <c r="G42" s="68"/>
      <c r="H42" s="68"/>
      <c r="I42" s="68"/>
      <c r="J42" s="68"/>
      <c r="K42" s="54"/>
      <c r="L42" s="43"/>
      <c r="M42" s="43"/>
      <c r="N42" s="43"/>
    </row>
    <row r="43" spans="1:14" ht="14.25">
      <c r="A43" s="97"/>
      <c r="B43" s="64"/>
      <c r="C43" s="64"/>
      <c r="D43" s="68"/>
      <c r="E43" s="68"/>
      <c r="F43" s="64"/>
      <c r="G43" s="68"/>
      <c r="H43" s="68"/>
      <c r="I43" s="68"/>
      <c r="J43" s="68"/>
      <c r="K43" s="54"/>
      <c r="L43" s="43"/>
      <c r="M43" s="43"/>
      <c r="N43" s="43"/>
    </row>
    <row r="44" spans="1:14" ht="14.25">
      <c r="A44" s="97"/>
      <c r="B44" s="64"/>
      <c r="C44" s="64"/>
      <c r="D44" s="68"/>
      <c r="E44" s="68"/>
      <c r="F44" s="64"/>
      <c r="G44" s="68"/>
      <c r="H44" s="68"/>
      <c r="I44" s="68"/>
      <c r="J44" s="68"/>
      <c r="K44" s="54"/>
      <c r="L44" s="43"/>
      <c r="M44" s="43"/>
      <c r="N44" s="43"/>
    </row>
    <row r="45" spans="1:14" ht="14.25">
      <c r="A45" s="64"/>
      <c r="B45" s="68"/>
      <c r="C45" s="68"/>
      <c r="D45" s="68"/>
      <c r="E45" s="64"/>
      <c r="F45" s="64"/>
      <c r="G45" s="68"/>
      <c r="H45" s="68"/>
      <c r="I45" s="68"/>
      <c r="J45" s="68"/>
      <c r="K45" s="54"/>
      <c r="L45" s="43"/>
      <c r="M45" s="43"/>
      <c r="N45" s="43"/>
    </row>
    <row r="46" spans="1:14" ht="18">
      <c r="A46" s="31"/>
      <c r="B46" s="44"/>
      <c r="C46" s="44"/>
      <c r="D46" s="44"/>
      <c r="G46" s="43"/>
      <c r="H46" s="43"/>
      <c r="I46" s="43"/>
      <c r="J46" s="43"/>
      <c r="K46" s="54"/>
      <c r="L46" s="43"/>
      <c r="M46" s="43"/>
      <c r="N46" s="43"/>
    </row>
    <row r="47" spans="2:14" ht="14.25">
      <c r="B47" s="32"/>
      <c r="C47" s="45"/>
      <c r="D47" s="34"/>
      <c r="E47" s="43"/>
      <c r="F47" s="43"/>
      <c r="G47" s="43"/>
      <c r="H47" s="43"/>
      <c r="I47" s="43"/>
      <c r="J47" s="43"/>
      <c r="K47" s="54"/>
      <c r="L47" s="43"/>
      <c r="M47" s="43"/>
      <c r="N47" s="43"/>
    </row>
    <row r="48" spans="2:14" ht="21.75" customHeight="1">
      <c r="B48" s="32"/>
      <c r="C48" s="47"/>
      <c r="D48" s="48"/>
      <c r="E48" s="42"/>
      <c r="F48" s="42"/>
      <c r="G48" s="43"/>
      <c r="H48" s="43"/>
      <c r="I48" s="43"/>
      <c r="J48" s="43"/>
      <c r="K48" s="54"/>
      <c r="L48" s="43"/>
      <c r="M48" s="43"/>
      <c r="N48" s="43"/>
    </row>
    <row r="49" spans="2:14" ht="14.25">
      <c r="B49" s="32"/>
      <c r="C49" s="49"/>
      <c r="D49" s="50"/>
      <c r="E49" s="46"/>
      <c r="F49" s="46"/>
      <c r="G49" s="43"/>
      <c r="H49" s="43"/>
      <c r="I49" s="43"/>
      <c r="J49" s="43"/>
      <c r="K49" s="54"/>
      <c r="L49" s="43"/>
      <c r="M49" s="43"/>
      <c r="N49" s="43"/>
    </row>
    <row r="50" spans="2:14" ht="15">
      <c r="B50" s="32"/>
      <c r="C50" s="49"/>
      <c r="D50" s="51"/>
      <c r="E50" s="46"/>
      <c r="F50" s="46"/>
      <c r="G50" s="43"/>
      <c r="H50" s="43"/>
      <c r="I50" s="43"/>
      <c r="J50" s="43"/>
      <c r="K50" s="55"/>
      <c r="L50" s="43"/>
      <c r="M50" s="43"/>
      <c r="N50" s="43"/>
    </row>
    <row r="51" spans="2:14" ht="14.25">
      <c r="B51" s="61"/>
      <c r="C51" s="60"/>
      <c r="D51" s="59"/>
      <c r="E51" s="46"/>
      <c r="F51" s="46"/>
      <c r="G51" s="43"/>
      <c r="H51" s="43"/>
      <c r="I51" s="43"/>
      <c r="J51" s="43"/>
      <c r="K51" s="54"/>
      <c r="L51" s="43"/>
      <c r="M51" s="43"/>
      <c r="N51" s="43"/>
    </row>
    <row r="52" spans="2:14" ht="14.25">
      <c r="B52" s="61"/>
      <c r="C52" s="60"/>
      <c r="D52" s="59"/>
      <c r="E52" s="46"/>
      <c r="F52" s="46"/>
      <c r="G52" s="43"/>
      <c r="H52" s="43"/>
      <c r="I52" s="43"/>
      <c r="J52" s="43"/>
      <c r="K52" s="54"/>
      <c r="L52" s="43"/>
      <c r="M52" s="43"/>
      <c r="N52" s="43"/>
    </row>
    <row r="53" spans="2:14" ht="14.25">
      <c r="B53" s="61"/>
      <c r="C53" s="60"/>
      <c r="D53" s="59"/>
      <c r="E53" s="46"/>
      <c r="F53" s="46"/>
      <c r="G53" s="43"/>
      <c r="H53" s="43"/>
      <c r="I53" s="43"/>
      <c r="J53" s="43"/>
      <c r="K53" s="54"/>
      <c r="L53" s="43"/>
      <c r="M53" s="43"/>
      <c r="N53" s="43"/>
    </row>
    <row r="54" spans="2:14" ht="14.25">
      <c r="B54" s="62"/>
      <c r="C54" s="46"/>
      <c r="D54" s="59"/>
      <c r="E54" s="46"/>
      <c r="F54" s="46"/>
      <c r="G54" s="43"/>
      <c r="H54" s="43"/>
      <c r="I54" s="52"/>
      <c r="J54" s="43"/>
      <c r="K54" s="54"/>
      <c r="L54" s="43"/>
      <c r="M54" s="43"/>
      <c r="N54" s="43"/>
    </row>
    <row r="55" spans="2:14" ht="14.25">
      <c r="B55" s="62"/>
      <c r="C55" s="46"/>
      <c r="D55" s="59"/>
      <c r="E55" s="46"/>
      <c r="F55" s="46"/>
      <c r="G55" s="43"/>
      <c r="H55" s="43"/>
      <c r="I55" s="52"/>
      <c r="J55" s="43"/>
      <c r="K55" s="54"/>
      <c r="L55" s="43"/>
      <c r="M55" s="43"/>
      <c r="N55" s="43"/>
    </row>
    <row r="56" spans="2:14" ht="14.25">
      <c r="B56" s="32"/>
      <c r="C56" s="43"/>
      <c r="D56" s="43"/>
      <c r="E56" s="46"/>
      <c r="F56" s="46"/>
      <c r="G56" s="43"/>
      <c r="H56" s="43"/>
      <c r="I56" s="43"/>
      <c r="J56" s="43"/>
      <c r="K56" s="54"/>
      <c r="L56" s="43"/>
      <c r="M56" s="43"/>
      <c r="N56" s="43"/>
    </row>
    <row r="57" spans="2:11" ht="14.25">
      <c r="B57" s="32"/>
      <c r="C57" s="43"/>
      <c r="D57" s="43"/>
      <c r="E57" s="46"/>
      <c r="F57" s="46"/>
      <c r="G57" s="43"/>
      <c r="H57" s="43"/>
      <c r="I57" s="43"/>
      <c r="J57" s="43"/>
      <c r="K57" s="41"/>
    </row>
    <row r="58" spans="2:11" ht="14.25">
      <c r="B58" s="43"/>
      <c r="C58" s="43"/>
      <c r="D58" s="43"/>
      <c r="E58" s="43"/>
      <c r="F58" s="53"/>
      <c r="G58" s="43"/>
      <c r="H58" s="43"/>
      <c r="I58" s="43"/>
      <c r="J58" s="43"/>
      <c r="K58" s="41"/>
    </row>
    <row r="59" spans="5:11" ht="14.25">
      <c r="E59" s="43"/>
      <c r="F59" s="53"/>
      <c r="G59" s="43"/>
      <c r="H59" s="43"/>
      <c r="I59" s="43"/>
      <c r="J59" s="43"/>
      <c r="K59" s="41"/>
    </row>
    <row r="60" spans="5:10" ht="13.5">
      <c r="E60" s="43"/>
      <c r="F60" s="43"/>
      <c r="G60" s="43"/>
      <c r="H60" s="43"/>
      <c r="I60" s="43"/>
      <c r="J60" s="43"/>
    </row>
    <row r="63" spans="9:11" ht="15">
      <c r="I63" s="35"/>
      <c r="K63" s="27"/>
    </row>
    <row r="67" spans="10:11" ht="13.5">
      <c r="J67">
        <v>56</v>
      </c>
      <c r="K67" t="s">
        <v>13</v>
      </c>
    </row>
    <row r="68" spans="10:11" ht="13.5">
      <c r="J68">
        <v>57</v>
      </c>
      <c r="K68" t="s">
        <v>13</v>
      </c>
    </row>
    <row r="69" spans="10:11" ht="13.5">
      <c r="J69">
        <v>58</v>
      </c>
      <c r="K69" t="s">
        <v>13</v>
      </c>
    </row>
    <row r="70" spans="10:11" ht="13.5">
      <c r="J70">
        <v>59</v>
      </c>
      <c r="K70" t="s">
        <v>13</v>
      </c>
    </row>
    <row r="71" spans="10:11" ht="13.5">
      <c r="J71">
        <v>60</v>
      </c>
      <c r="K71" t="s">
        <v>13</v>
      </c>
    </row>
    <row r="72" spans="10:11" ht="13.5">
      <c r="J72">
        <v>61</v>
      </c>
      <c r="K72" t="s">
        <v>13</v>
      </c>
    </row>
  </sheetData>
  <mergeCells count="4">
    <mergeCell ref="A8:B8"/>
    <mergeCell ref="A9:A18"/>
    <mergeCell ref="A19:A20"/>
    <mergeCell ref="A21:A32"/>
  </mergeCells>
  <printOptions/>
  <pageMargins left="1.25" right="0.5" top="0.75" bottom="0.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showZeros="0" workbookViewId="0" topLeftCell="A43">
      <selection activeCell="E74" sqref="E74"/>
    </sheetView>
  </sheetViews>
  <sheetFormatPr defaultColWidth="8.796875" defaultRowHeight="14.25"/>
  <cols>
    <col min="1" max="1" width="8" style="0" customWidth="1"/>
    <col min="3" max="4" width="9.09765625" style="0" customWidth="1"/>
    <col min="5" max="5" width="8.8984375" style="0" customWidth="1"/>
    <col min="6" max="6" width="9.3984375" style="0" customWidth="1"/>
    <col min="7" max="7" width="9.59765625" style="0" customWidth="1"/>
    <col min="8" max="16384" width="10.19921875" style="0" customWidth="1"/>
  </cols>
  <sheetData>
    <row r="1" spans="2:4" ht="18">
      <c r="B1" s="1" t="s">
        <v>168</v>
      </c>
      <c r="C1" s="1"/>
      <c r="D1" s="1"/>
    </row>
    <row r="3" spans="2:6" ht="15.75">
      <c r="B3" s="2" t="s">
        <v>39</v>
      </c>
      <c r="C3" s="2"/>
      <c r="D3" s="2"/>
      <c r="E3" s="5" t="str">
        <f>'kich thuoc'!$D$3</f>
        <v>Ph­¬ng ¸n 2</v>
      </c>
      <c r="F3" s="5"/>
    </row>
    <row r="4" spans="2:6" ht="15.75">
      <c r="B4" s="2" t="s">
        <v>38</v>
      </c>
      <c r="C4" s="2"/>
      <c r="D4" s="2"/>
      <c r="E4" s="5" t="str">
        <f>'kich thuoc'!$D$4</f>
        <v>Gi÷a nhÞp</v>
      </c>
      <c r="F4" s="5"/>
    </row>
    <row r="6" ht="15.75">
      <c r="A6" s="2" t="s">
        <v>118</v>
      </c>
    </row>
    <row r="7" ht="14.25">
      <c r="A7" t="s">
        <v>40</v>
      </c>
    </row>
    <row r="8" spans="2:7" ht="14.25">
      <c r="B8" t="s">
        <v>41</v>
      </c>
      <c r="E8" s="9" t="s">
        <v>42</v>
      </c>
      <c r="F8" s="8">
        <f>t1t+t2t+t3t</f>
        <v>3</v>
      </c>
      <c r="G8" t="s">
        <v>47</v>
      </c>
    </row>
    <row r="10" spans="2:7" ht="14.25">
      <c r="B10" t="s">
        <v>43</v>
      </c>
      <c r="E10" s="9" t="s">
        <v>42</v>
      </c>
      <c r="F10" s="8">
        <f>t1d+t2d+t3d</f>
        <v>3</v>
      </c>
      <c r="G10" t="s">
        <v>47</v>
      </c>
    </row>
    <row r="12" ht="13.5">
      <c r="A12" t="s">
        <v>55</v>
      </c>
    </row>
    <row r="13" spans="5:7" ht="13.5">
      <c r="E13" t="s">
        <v>56</v>
      </c>
      <c r="F13" s="8">
        <f>ho+tt+td</f>
        <v>131</v>
      </c>
      <c r="G13" t="s">
        <v>47</v>
      </c>
    </row>
    <row r="14" ht="14.25">
      <c r="A14" t="s">
        <v>44</v>
      </c>
    </row>
    <row r="15" spans="2:8" ht="14.25">
      <c r="B15" t="s">
        <v>41</v>
      </c>
      <c r="D15" s="9" t="s">
        <v>42</v>
      </c>
      <c r="F15" s="8">
        <f>t1t*b1t+t2t*b2t+t3t*b3t</f>
        <v>96</v>
      </c>
      <c r="G15" t="s">
        <v>46</v>
      </c>
      <c r="H15" s="9"/>
    </row>
    <row r="17" ht="14.25">
      <c r="B17" t="s">
        <v>43</v>
      </c>
    </row>
    <row r="18" spans="4:8" ht="14.25">
      <c r="D18" s="9" t="s">
        <v>42</v>
      </c>
      <c r="F18" s="8">
        <f>t1d*b1d+t2d*b2d+t3d*b3d</f>
        <v>108</v>
      </c>
      <c r="G18" t="s">
        <v>46</v>
      </c>
      <c r="H18" s="9"/>
    </row>
    <row r="20" ht="13.5">
      <c r="A20" t="s">
        <v>179</v>
      </c>
    </row>
    <row r="21" spans="5:7" ht="13.5">
      <c r="E21" t="s">
        <v>45</v>
      </c>
      <c r="F21" s="8">
        <f>ho*d</f>
        <v>225</v>
      </c>
      <c r="G21" t="s">
        <v>46</v>
      </c>
    </row>
    <row r="23" ht="13.5">
      <c r="B23" t="s">
        <v>48</v>
      </c>
    </row>
    <row r="25" spans="5:7" ht="14.25">
      <c r="E25" s="8" t="s">
        <v>42</v>
      </c>
      <c r="F25" s="8">
        <f>Ftr+Fd+Fb</f>
        <v>429</v>
      </c>
      <c r="G25" t="s">
        <v>46</v>
      </c>
    </row>
    <row r="27" ht="13.5">
      <c r="B27" t="s">
        <v>49</v>
      </c>
    </row>
    <row r="30" spans="5:8" ht="14.25">
      <c r="E30" s="9" t="s">
        <v>42</v>
      </c>
      <c r="F30" s="22">
        <f>(Ftr*(ho+td+0.5*tt)+Fb*(0.5*ho+td)+Fd*0.5*td)/Fhan</f>
        <v>63.70979020979021</v>
      </c>
      <c r="G30" t="s">
        <v>47</v>
      </c>
      <c r="H30" s="9"/>
    </row>
    <row r="32" ht="13.5">
      <c r="B32" t="s">
        <v>50</v>
      </c>
    </row>
    <row r="33" ht="13.5">
      <c r="A33" t="s">
        <v>147</v>
      </c>
    </row>
    <row r="34" spans="1:4" ht="13.5">
      <c r="A34" t="s">
        <v>51</v>
      </c>
      <c r="D34" t="s">
        <v>43</v>
      </c>
    </row>
    <row r="36" spans="2:7" ht="14.25">
      <c r="B36" s="9" t="s">
        <v>42</v>
      </c>
      <c r="C36" s="10">
        <f>(b1t*t1t^3+b2t*t2t^3+b3t*t3t^3)/12</f>
        <v>72</v>
      </c>
      <c r="D36" s="9"/>
      <c r="F36" s="9" t="s">
        <v>42</v>
      </c>
      <c r="G36" s="10">
        <f>(b1d*t1d^3+b2d*t2d^3+b3d*t3d^3)/12</f>
        <v>81</v>
      </c>
    </row>
    <row r="38" ht="13.5">
      <c r="A38" t="s">
        <v>180</v>
      </c>
    </row>
    <row r="40" spans="3:8" ht="14.25">
      <c r="C40" s="8" t="s">
        <v>42</v>
      </c>
      <c r="D40" s="8"/>
      <c r="E40" s="8">
        <f>d*ho^3/12</f>
        <v>292968.75</v>
      </c>
      <c r="F40" t="s">
        <v>52</v>
      </c>
      <c r="H40" s="8"/>
    </row>
    <row r="41" spans="3:7" ht="14.25">
      <c r="C41" t="s">
        <v>158</v>
      </c>
      <c r="D41" s="38">
        <f>Ftr</f>
        <v>96</v>
      </c>
      <c r="G41" s="39"/>
    </row>
    <row r="42" spans="3:7" ht="13.5">
      <c r="C42" t="s">
        <v>156</v>
      </c>
      <c r="D42" s="58">
        <f>(t1t*b1t^3+t2t*b2t^3+t3t*b3t^3)/12</f>
        <v>8192</v>
      </c>
      <c r="F42" t="s">
        <v>157</v>
      </c>
      <c r="G42" s="58">
        <f>(t1d*b1d^3+t2d*b2d^3+t3d*b3d^3)/12</f>
        <v>11664</v>
      </c>
    </row>
    <row r="43" spans="3:7" ht="13.5">
      <c r="C43" t="s">
        <v>159</v>
      </c>
      <c r="D43">
        <f>D41</f>
        <v>96</v>
      </c>
      <c r="F43" t="s">
        <v>153</v>
      </c>
      <c r="G43">
        <f>Fd</f>
        <v>108</v>
      </c>
    </row>
    <row r="44" spans="6:7" ht="13.5">
      <c r="F44" t="s">
        <v>160</v>
      </c>
      <c r="G44">
        <f>Fb</f>
        <v>225</v>
      </c>
    </row>
    <row r="45" ht="13.5">
      <c r="A45" t="s">
        <v>53</v>
      </c>
    </row>
    <row r="49" spans="2:7" ht="15">
      <c r="B49" s="11" t="s">
        <v>54</v>
      </c>
      <c r="C49" s="11"/>
      <c r="D49" s="11"/>
      <c r="E49" s="10">
        <f>Jtr+Jd+Jb+Ftr*(Hh-Yohan-0.5*tt)^2+Fd*(Yohan-0.5*td)^2+Fb*(0.5*ho+td-Yohan)^2</f>
        <v>1127330.8688811187</v>
      </c>
      <c r="F49" s="10"/>
      <c r="G49" t="s">
        <v>52</v>
      </c>
    </row>
    <row r="51" ht="13.5">
      <c r="B51" t="s">
        <v>57</v>
      </c>
    </row>
    <row r="52" ht="14.25">
      <c r="A52" t="s">
        <v>58</v>
      </c>
    </row>
    <row r="53" spans="6:7" ht="14.25">
      <c r="F53" s="10">
        <f>Jhan/(Hh-Yohan)</f>
        <v>16753.267264224472</v>
      </c>
      <c r="G53" t="s">
        <v>59</v>
      </c>
    </row>
    <row r="55" ht="14.25">
      <c r="A55" t="s">
        <v>60</v>
      </c>
    </row>
    <row r="56" spans="6:7" ht="14.25">
      <c r="F56" s="10">
        <f>Jhan/Yohan</f>
        <v>17694.78231161846</v>
      </c>
      <c r="G56" t="s">
        <v>59</v>
      </c>
    </row>
    <row r="59" ht="13.5">
      <c r="B59" t="s">
        <v>61</v>
      </c>
    </row>
    <row r="60" ht="13.5">
      <c r="A60" t="s">
        <v>109</v>
      </c>
    </row>
    <row r="62" spans="2:5" ht="13.5">
      <c r="B62" s="8" t="s">
        <v>110</v>
      </c>
      <c r="C62" s="23">
        <f>(Ftr*((ho+td-Yohan)+0.5*tt)+0.5*d*(ho+td-Yohan)^2)/(Ftr+d*(td+ho-Yohan))</f>
        <v>47.40060176889727</v>
      </c>
      <c r="D62" s="23"/>
      <c r="E62" t="s">
        <v>47</v>
      </c>
    </row>
    <row r="63" spans="2:5" ht="13.5">
      <c r="B63" s="8" t="s">
        <v>111</v>
      </c>
      <c r="C63" s="24">
        <f>(Ftr+0.5*Fb)*C62</f>
        <v>9883.02546881508</v>
      </c>
      <c r="D63" s="24"/>
      <c r="E63" t="s">
        <v>59</v>
      </c>
    </row>
    <row r="64" spans="2:5" ht="13.5">
      <c r="B64" s="8" t="s">
        <v>112</v>
      </c>
      <c r="C64" s="24">
        <f>Ftr*((ho+td-Yohan)+0.5*tt)</f>
        <v>6315.8601398601395</v>
      </c>
      <c r="D64" s="24"/>
      <c r="E64" t="s">
        <v>59</v>
      </c>
    </row>
    <row r="66" ht="15.75">
      <c r="A66" s="2" t="s">
        <v>100</v>
      </c>
    </row>
    <row r="67" spans="2:9" ht="13.5">
      <c r="B67" s="3"/>
      <c r="C67" s="3"/>
      <c r="D67" s="3"/>
      <c r="E67" s="3"/>
      <c r="F67" s="3"/>
      <c r="G67" s="3"/>
      <c r="H67" s="3"/>
      <c r="I67" s="18"/>
    </row>
    <row r="68" spans="1:9" ht="17.25">
      <c r="A68" s="19" t="s">
        <v>104</v>
      </c>
      <c r="B68" s="19" t="s">
        <v>105</v>
      </c>
      <c r="C68" s="19" t="s">
        <v>114</v>
      </c>
      <c r="D68" s="19" t="s">
        <v>115</v>
      </c>
      <c r="E68" s="19" t="s">
        <v>102</v>
      </c>
      <c r="F68" s="19" t="s">
        <v>103</v>
      </c>
      <c r="G68" s="19" t="s">
        <v>101</v>
      </c>
      <c r="H68" s="19" t="s">
        <v>113</v>
      </c>
      <c r="I68" s="18"/>
    </row>
    <row r="69" spans="1:8" ht="13.5">
      <c r="A69" s="6"/>
      <c r="B69" s="6"/>
      <c r="C69" s="6"/>
      <c r="D69" s="6"/>
      <c r="E69" s="6"/>
      <c r="F69" s="6"/>
      <c r="G69" s="6"/>
      <c r="H69" s="6"/>
    </row>
    <row r="70" spans="1:8" ht="13.5">
      <c r="A70" s="7">
        <f>Fhan</f>
        <v>429</v>
      </c>
      <c r="B70" s="7">
        <f>Fhan</f>
        <v>429</v>
      </c>
      <c r="C70" s="7">
        <f>Jhan</f>
        <v>1127330.8688811187</v>
      </c>
      <c r="D70" s="7">
        <f>Jhan</f>
        <v>1127330.8688811187</v>
      </c>
      <c r="E70" s="16">
        <f>F53</f>
        <v>16753.267264224472</v>
      </c>
      <c r="F70" s="16">
        <f>F56</f>
        <v>17694.78231161846</v>
      </c>
      <c r="G70" s="16">
        <f>C63</f>
        <v>9883.02546881508</v>
      </c>
      <c r="H70" s="16">
        <f>C64</f>
        <v>6315.8601398601395</v>
      </c>
    </row>
    <row r="71" spans="1:8" ht="13.5">
      <c r="A71" s="6"/>
      <c r="B71" s="6"/>
      <c r="C71" s="6"/>
      <c r="D71" s="6"/>
      <c r="E71" s="6"/>
      <c r="F71" s="6"/>
      <c r="G71" s="6"/>
      <c r="H71" s="6"/>
    </row>
    <row r="79" spans="3:6" ht="13.5">
      <c r="C79" s="28"/>
      <c r="F79" s="13"/>
    </row>
    <row r="82" spans="6:7" ht="13.5">
      <c r="F82" s="9"/>
      <c r="G82" s="23"/>
    </row>
    <row r="85" spans="6:7" ht="13.5">
      <c r="F85" s="9"/>
      <c r="G85" s="23"/>
    </row>
    <row r="87" ht="13.5">
      <c r="F87" s="26"/>
    </row>
    <row r="90" spans="4:5" ht="13.5">
      <c r="D90" s="9"/>
      <c r="E90" s="24"/>
    </row>
    <row r="96" ht="13.5">
      <c r="D96" s="26"/>
    </row>
    <row r="99" spans="4:7" ht="13.5">
      <c r="D99" s="29"/>
      <c r="G99" s="29"/>
    </row>
    <row r="102" ht="13.5">
      <c r="E102" s="24"/>
    </row>
  </sheetData>
  <printOptions/>
  <pageMargins left="1.25" right="0.5" top="1" bottom="0.75" header="0" footer="0"/>
  <pageSetup horizontalDpi="300" verticalDpi="300" orientation="portrait" paperSize="9" r:id="rId14"/>
  <drawing r:id="rId13"/>
  <legacyDrawing r:id="rId12"/>
  <oleObjects>
    <oleObject progId="Equation.3" shapeId="374088" r:id="rId1"/>
    <oleObject progId="Equation.3" shapeId="380826" r:id="rId2"/>
    <oleObject progId="Equation.3" shapeId="390328" r:id="rId3"/>
    <oleObject progId="Equation.3" shapeId="397380" r:id="rId4"/>
    <oleObject progId="Equation.3" shapeId="420909" r:id="rId5"/>
    <oleObject progId="Equation.3" shapeId="430722" r:id="rId6"/>
    <oleObject progId="Equation.3" shapeId="473104" r:id="rId7"/>
    <oleObject progId="Equation.3" shapeId="502151" r:id="rId8"/>
    <oleObject progId="Equation.3" shapeId="587235" r:id="rId9"/>
    <oleObject progId="Equation.3" shapeId="597649" r:id="rId10"/>
    <oleObject progId="Equation.3" shapeId="24142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124"/>
  <sheetViews>
    <sheetView tabSelected="1" workbookViewId="0" topLeftCell="A36">
      <selection activeCell="F79" sqref="F79"/>
    </sheetView>
  </sheetViews>
  <sheetFormatPr defaultColWidth="8.796875" defaultRowHeight="14.25"/>
  <cols>
    <col min="1" max="1" width="7.5" style="0" customWidth="1"/>
    <col min="2" max="2" width="9.59765625" style="0" customWidth="1"/>
    <col min="3" max="3" width="9.19921875" style="0" customWidth="1"/>
    <col min="4" max="4" width="12.09765625" style="0" customWidth="1"/>
    <col min="5" max="5" width="11" style="0" customWidth="1"/>
    <col min="6" max="16384" width="10.19921875" style="0" customWidth="1"/>
  </cols>
  <sheetData>
    <row r="2" ht="18">
      <c r="A2" s="1" t="s">
        <v>169</v>
      </c>
    </row>
    <row r="4" spans="2:4" ht="17.25">
      <c r="B4" s="14" t="s">
        <v>1</v>
      </c>
      <c r="D4" s="5" t="str">
        <f>'kich thuoc'!D3</f>
        <v>Ph­¬ng ¸n 2</v>
      </c>
    </row>
    <row r="5" spans="2:4" ht="17.25">
      <c r="B5" s="14" t="s">
        <v>2</v>
      </c>
      <c r="D5" s="5" t="str">
        <f>'kich thuoc'!D4</f>
        <v>Gi÷a nhÞp</v>
      </c>
    </row>
    <row r="7" ht="17.25">
      <c r="A7" s="14" t="s">
        <v>62</v>
      </c>
    </row>
    <row r="8" spans="2:8" ht="13.5">
      <c r="B8" s="3"/>
      <c r="C8" s="3"/>
      <c r="D8" s="3"/>
      <c r="E8" s="3"/>
      <c r="F8" s="3"/>
      <c r="G8" s="18"/>
      <c r="H8" s="18"/>
    </row>
    <row r="9" spans="2:9" ht="21.75" customHeight="1">
      <c r="B9" s="15" t="s">
        <v>68</v>
      </c>
      <c r="C9" s="15" t="s">
        <v>69</v>
      </c>
      <c r="D9" s="15" t="s">
        <v>70</v>
      </c>
      <c r="E9" s="15" t="s">
        <v>71</v>
      </c>
      <c r="F9" s="15" t="s">
        <v>72</v>
      </c>
      <c r="G9" s="18"/>
      <c r="H9" s="25"/>
      <c r="I9" s="18"/>
    </row>
    <row r="10" spans="2:9" ht="13.5">
      <c r="B10" s="6"/>
      <c r="C10" s="6"/>
      <c r="D10" s="6"/>
      <c r="E10" s="6"/>
      <c r="F10" s="6"/>
      <c r="H10" s="18"/>
      <c r="I10" s="18"/>
    </row>
    <row r="11" spans="2:9" ht="13.5">
      <c r="B11" s="37">
        <f>Hh</f>
        <v>131</v>
      </c>
      <c r="C11" s="37">
        <f>IF((b1t=0),bc,b1t)</f>
        <v>32</v>
      </c>
      <c r="D11" s="37">
        <f>Yohan</f>
        <v>63.70979020979021</v>
      </c>
      <c r="E11" s="36">
        <f>Fhan</f>
        <v>429</v>
      </c>
      <c r="F11" s="36">
        <f>Jhan</f>
        <v>1127330.8688811187</v>
      </c>
      <c r="H11" s="21"/>
      <c r="I11" s="18"/>
    </row>
    <row r="12" spans="2:9" ht="13.5">
      <c r="B12" s="6"/>
      <c r="C12" s="6"/>
      <c r="D12" s="6"/>
      <c r="E12" s="6"/>
      <c r="F12" s="6"/>
      <c r="H12" s="18"/>
      <c r="I12" s="18"/>
    </row>
    <row r="15" spans="6:7" ht="14.25">
      <c r="F15" s="8" t="s">
        <v>77</v>
      </c>
      <c r="G15" s="12">
        <f>0.5*b+bv</f>
        <v>26</v>
      </c>
    </row>
    <row r="17" ht="14.25">
      <c r="H17" s="4"/>
    </row>
    <row r="18" ht="14.25">
      <c r="H18" s="4"/>
    </row>
    <row r="23" ht="14.25">
      <c r="F23" s="4" t="s">
        <v>73</v>
      </c>
    </row>
    <row r="24" spans="1:6" ht="14.25">
      <c r="A24" s="14" t="s">
        <v>75</v>
      </c>
      <c r="F24" s="4" t="s">
        <v>74</v>
      </c>
    </row>
    <row r="25" ht="13.5">
      <c r="A25" t="s">
        <v>76</v>
      </c>
    </row>
    <row r="27" spans="3:5" ht="14.25">
      <c r="C27" s="8" t="s">
        <v>42</v>
      </c>
      <c r="D27" s="8">
        <f>IF(((s+6*hk)&lt;=lk),s+6*hk,lk)</f>
        <v>105</v>
      </c>
      <c r="E27" t="s">
        <v>47</v>
      </c>
    </row>
    <row r="28" ht="14.25">
      <c r="C28" s="8" t="s">
        <v>13</v>
      </c>
    </row>
    <row r="29" spans="3:5" ht="14.25">
      <c r="C29" s="8" t="s">
        <v>42</v>
      </c>
      <c r="D29" s="8">
        <f>IF(((s+6*hc)&lt;=0.5*a),s+6*hc,0.5*a)</f>
        <v>105</v>
      </c>
      <c r="E29" t="s">
        <v>47</v>
      </c>
    </row>
    <row r="31" ht="13.5">
      <c r="A31" t="s">
        <v>78</v>
      </c>
    </row>
    <row r="32" ht="13.5">
      <c r="A32" t="s">
        <v>79</v>
      </c>
    </row>
    <row r="34" spans="4:6" ht="14.25">
      <c r="D34" t="s">
        <v>42</v>
      </c>
      <c r="E34" s="10">
        <f>hv*(bv+b)+cp*hc+kp*hk</f>
        <v>3360</v>
      </c>
      <c r="F34" t="s">
        <v>46</v>
      </c>
    </row>
    <row r="36" ht="13.5">
      <c r="A36" t="s">
        <v>80</v>
      </c>
    </row>
    <row r="37" ht="13.5">
      <c r="B37" t="s">
        <v>81</v>
      </c>
    </row>
    <row r="39" spans="5:8" ht="14.25">
      <c r="E39" t="s">
        <v>42</v>
      </c>
      <c r="F39" s="10">
        <f>(0.5*hv^2*(b+2*s)+(0.5*hc+hv)*(cp+kp)*hc)/Fbt</f>
        <v>16.125</v>
      </c>
      <c r="G39" t="s">
        <v>47</v>
      </c>
      <c r="H39" s="10"/>
    </row>
    <row r="42" ht="13.5">
      <c r="B42" t="s">
        <v>82</v>
      </c>
    </row>
    <row r="44" spans="5:8" ht="14.25">
      <c r="E44" t="s">
        <v>42</v>
      </c>
      <c r="F44" s="10">
        <f>Hth-yoth+yobt</f>
        <v>83.41520979020979</v>
      </c>
      <c r="G44" t="s">
        <v>47</v>
      </c>
      <c r="H44" s="10"/>
    </row>
    <row r="45" ht="14.25">
      <c r="A45" t="s">
        <v>83</v>
      </c>
    </row>
    <row r="46" ht="13.5">
      <c r="C46" t="s">
        <v>84</v>
      </c>
    </row>
    <row r="48" spans="2:8" ht="14.25">
      <c r="B48" s="8" t="s">
        <v>120</v>
      </c>
      <c r="C48" s="9" t="s">
        <v>42</v>
      </c>
      <c r="D48" s="17">
        <f>2.1*10^6/HLOOKUP(M,'[1]R&amp;E'!$E$8:$J$37,30,1)</f>
        <v>6</v>
      </c>
      <c r="E48" t="s">
        <v>85</v>
      </c>
      <c r="F48" s="10">
        <f>Fbt*Zbt/n</f>
        <v>46712.51748251748</v>
      </c>
      <c r="H48" s="10"/>
    </row>
    <row r="51" ht="13.5">
      <c r="A51" t="s">
        <v>86</v>
      </c>
    </row>
    <row r="53" spans="4:6" ht="14.25">
      <c r="D53" t="s">
        <v>42</v>
      </c>
      <c r="E53" s="8">
        <f>Fbt/n+Fth</f>
        <v>989</v>
      </c>
      <c r="F53" t="s">
        <v>46</v>
      </c>
    </row>
    <row r="55" ht="13.5">
      <c r="A55" t="s">
        <v>87</v>
      </c>
    </row>
    <row r="57" spans="3:6" ht="14.25">
      <c r="C57" t="s">
        <v>42</v>
      </c>
      <c r="D57" s="12">
        <f>Sbt/Ftd</f>
        <v>47.23207025532607</v>
      </c>
      <c r="E57" t="s">
        <v>47</v>
      </c>
      <c r="F57" t="s">
        <v>121</v>
      </c>
    </row>
    <row r="59" ht="13.5">
      <c r="A59" t="s">
        <v>88</v>
      </c>
    </row>
    <row r="61" spans="4:6" ht="14.25">
      <c r="D61" s="8" t="s">
        <v>42</v>
      </c>
      <c r="E61" s="12">
        <f>yoth+Z</f>
        <v>110.94186046511628</v>
      </c>
      <c r="F61" t="s">
        <v>47</v>
      </c>
    </row>
    <row r="62" ht="13.5">
      <c r="A62" t="s">
        <v>89</v>
      </c>
    </row>
    <row r="64" spans="4:6" ht="14.25">
      <c r="D64" s="9" t="s">
        <v>42</v>
      </c>
      <c r="E64" s="10">
        <f>(hv^3*(4*s^2+16*s*(s-bv)+4*(s-bv)^2))/(72*(2*s-bv))+cp*hc^3/12+cp*hc^3/12</f>
        <v>51453.862433862436</v>
      </c>
      <c r="F64" t="s">
        <v>52</v>
      </c>
    </row>
    <row r="66" ht="13.5">
      <c r="A66" t="s">
        <v>90</v>
      </c>
    </row>
    <row r="68" spans="4:6" ht="14.25">
      <c r="D68" s="8" t="s">
        <v>42</v>
      </c>
      <c r="E68" s="13">
        <f>Jth+Fth*Z^2+Jbt/n+Fbt*(Zbt-Z)^2/n</f>
        <v>2826112.0507157207</v>
      </c>
      <c r="F68" t="s">
        <v>52</v>
      </c>
    </row>
    <row r="70" ht="13.5">
      <c r="A70" t="s">
        <v>91</v>
      </c>
    </row>
    <row r="71" spans="1:10" ht="14.25">
      <c r="A71" t="s">
        <v>92</v>
      </c>
      <c r="D71" t="s">
        <v>97</v>
      </c>
      <c r="E71" s="13">
        <f>Jtd/(Hth+hv+hc-yolh)</f>
        <v>64145.061061375556</v>
      </c>
      <c r="F71" s="13"/>
      <c r="I71" t="s">
        <v>161</v>
      </c>
      <c r="J71" s="40">
        <f>(Hth+hv+hc)</f>
        <v>155</v>
      </c>
    </row>
    <row r="72" spans="1:10" ht="14.25">
      <c r="A72" t="s">
        <v>93</v>
      </c>
      <c r="D72" t="s">
        <v>95</v>
      </c>
      <c r="E72" s="13">
        <f>Jtd/(Hth-yolh)</f>
        <v>140896.02107916056</v>
      </c>
      <c r="F72" s="13"/>
      <c r="I72" t="s">
        <v>162</v>
      </c>
      <c r="J72" s="40">
        <f>J71-yolh</f>
        <v>44.05813953488372</v>
      </c>
    </row>
    <row r="73" spans="1:10" ht="14.25">
      <c r="A73" t="s">
        <v>94</v>
      </c>
      <c r="D73" t="s">
        <v>96</v>
      </c>
      <c r="E73" s="13">
        <f>Jtd/yolh</f>
        <v>25473.811588046534</v>
      </c>
      <c r="F73" s="13"/>
      <c r="I73" t="s">
        <v>163</v>
      </c>
      <c r="J73" s="40">
        <f>J72-(hc+hv)</f>
        <v>20.058139534883722</v>
      </c>
    </row>
    <row r="74" spans="1:10" ht="13.5">
      <c r="A74" t="s">
        <v>116</v>
      </c>
      <c r="D74" t="s">
        <v>117</v>
      </c>
      <c r="E74" s="13">
        <f>Jtd/(Zbt-Z)</f>
        <v>78105.77210944067</v>
      </c>
      <c r="I74" t="s">
        <v>164</v>
      </c>
      <c r="J74" s="40">
        <f>yolh</f>
        <v>110.94186046511628</v>
      </c>
    </row>
    <row r="75" ht="15.75">
      <c r="B75" s="2" t="s">
        <v>154</v>
      </c>
    </row>
    <row r="76" spans="1:10" ht="13.5">
      <c r="A76" s="3"/>
      <c r="B76" s="3"/>
      <c r="C76" s="3"/>
      <c r="D76" s="3"/>
      <c r="E76" s="3"/>
      <c r="F76" s="3"/>
      <c r="G76" s="3"/>
      <c r="H76" s="18"/>
      <c r="I76" s="18"/>
      <c r="J76" s="18"/>
    </row>
    <row r="77" spans="1:10" ht="17.25">
      <c r="A77" s="19" t="s">
        <v>106</v>
      </c>
      <c r="B77" s="19" t="s">
        <v>107</v>
      </c>
      <c r="C77" s="19" t="s">
        <v>102</v>
      </c>
      <c r="D77" s="19" t="s">
        <v>103</v>
      </c>
      <c r="E77" s="19" t="s">
        <v>108</v>
      </c>
      <c r="F77" s="19" t="s">
        <v>101</v>
      </c>
      <c r="G77" s="19" t="s">
        <v>113</v>
      </c>
      <c r="H77" s="20"/>
      <c r="I77" s="20"/>
      <c r="J77" s="18"/>
    </row>
    <row r="78" spans="1:10" ht="13.5">
      <c r="A78" s="6"/>
      <c r="B78" s="6"/>
      <c r="C78" s="6"/>
      <c r="D78" s="6"/>
      <c r="E78" s="6"/>
      <c r="F78" s="6"/>
      <c r="G78" s="6"/>
      <c r="H78" s="18"/>
      <c r="I78" s="18"/>
      <c r="J78" s="18"/>
    </row>
    <row r="79" spans="1:10" ht="13.5">
      <c r="A79" s="7">
        <f>Ftd</f>
        <v>989</v>
      </c>
      <c r="B79" s="7">
        <f>Jtd</f>
        <v>2826112.0507157207</v>
      </c>
      <c r="C79" s="16">
        <f>E72</f>
        <v>140896.02107916056</v>
      </c>
      <c r="D79" s="16">
        <f>E73</f>
        <v>25473.811588046534</v>
      </c>
      <c r="E79" s="16">
        <f>E71</f>
        <v>64145.061061375556</v>
      </c>
      <c r="F79" s="16"/>
      <c r="G79" s="16"/>
      <c r="H79" s="21"/>
      <c r="I79" s="18"/>
      <c r="J79" s="18"/>
    </row>
    <row r="80" spans="1:10" ht="13.5">
      <c r="A80" s="6"/>
      <c r="B80" s="6"/>
      <c r="C80" s="6"/>
      <c r="D80" s="6"/>
      <c r="E80" s="6"/>
      <c r="F80" s="6"/>
      <c r="G80" s="6"/>
      <c r="H80" s="18"/>
      <c r="I80" s="18"/>
      <c r="J80" s="18"/>
    </row>
    <row r="82" ht="15.75">
      <c r="A82" s="2" t="s">
        <v>98</v>
      </c>
    </row>
    <row r="83" ht="13.5">
      <c r="A83" t="s">
        <v>99</v>
      </c>
    </row>
    <row r="85" spans="3:4" ht="14.25">
      <c r="C85" s="8" t="s">
        <v>42</v>
      </c>
      <c r="D85" s="17">
        <f>2.1*10^6/(0.5*HLOOKUP(M,'[1]R&amp;E'!$E$8:$J$37,30,1))</f>
        <v>12</v>
      </c>
    </row>
    <row r="87" ht="13.5">
      <c r="A87" t="s">
        <v>122</v>
      </c>
    </row>
    <row r="88" ht="13.5">
      <c r="A88" t="s">
        <v>123</v>
      </c>
    </row>
    <row r="91" spans="4:6" ht="14.25">
      <c r="D91" s="9" t="s">
        <v>42</v>
      </c>
      <c r="E91" s="17">
        <f>Fbt/nco+Fth</f>
        <v>709</v>
      </c>
      <c r="F91" t="s">
        <v>46</v>
      </c>
    </row>
    <row r="93" ht="13.5">
      <c r="A93" t="s">
        <v>124</v>
      </c>
    </row>
    <row r="94" ht="13.5">
      <c r="A94" t="s">
        <v>125</v>
      </c>
    </row>
    <row r="96" spans="4:6" ht="14.25">
      <c r="D96" s="9" t="s">
        <v>42</v>
      </c>
      <c r="E96" s="24">
        <f>Fbt*Zbt/nco</f>
        <v>23356.25874125874</v>
      </c>
      <c r="F96" t="s">
        <v>59</v>
      </c>
    </row>
    <row r="99" ht="13.5">
      <c r="A99" t="s">
        <v>126</v>
      </c>
    </row>
    <row r="100" ht="13.5">
      <c r="A100" t="s">
        <v>127</v>
      </c>
    </row>
    <row r="103" spans="3:5" ht="14.25">
      <c r="C103" s="9" t="s">
        <v>42</v>
      </c>
      <c r="D103" s="17">
        <f>E96/E91</f>
        <v>32.94253701164844</v>
      </c>
      <c r="E103" t="s">
        <v>47</v>
      </c>
    </row>
    <row r="105" ht="13.5">
      <c r="A105" t="s">
        <v>128</v>
      </c>
    </row>
    <row r="107" ht="14.25">
      <c r="A107" t="s">
        <v>129</v>
      </c>
    </row>
    <row r="109" spans="5:7" ht="14.25">
      <c r="E109" s="9" t="s">
        <v>42</v>
      </c>
      <c r="F109" s="24">
        <f>Jth+Fth*Zco^2+Jbt/nco+Fbt*(Zbt-Zco)^2/nco</f>
        <v>2310471.495529573</v>
      </c>
      <c r="G109" t="s">
        <v>52</v>
      </c>
    </row>
    <row r="111" ht="14.25">
      <c r="F111" s="17">
        <f>yoth+Zco</f>
        <v>96.65232722143864</v>
      </c>
    </row>
    <row r="112" ht="14.25">
      <c r="A112" t="s">
        <v>130</v>
      </c>
    </row>
    <row r="114" spans="2:9" ht="13.5">
      <c r="B114" t="s">
        <v>131</v>
      </c>
      <c r="E114" t="s">
        <v>135</v>
      </c>
      <c r="F114" s="24">
        <f>Jtd_co/(Hth+hv+hc-F111)</f>
        <v>39598.348751597645</v>
      </c>
      <c r="G114" t="s">
        <v>59</v>
      </c>
      <c r="H114" t="s">
        <v>166</v>
      </c>
      <c r="I114" s="40">
        <f>Hth+hv+hc-F111</f>
        <v>58.34767277856136</v>
      </c>
    </row>
    <row r="115" spans="2:7" ht="13.5">
      <c r="B115" t="s">
        <v>132</v>
      </c>
      <c r="E115" t="s">
        <v>136</v>
      </c>
      <c r="F115" s="24">
        <f>Jtd_co/(Zbt-Zco)</f>
        <v>45776.68208034672</v>
      </c>
      <c r="G115" t="s">
        <v>59</v>
      </c>
    </row>
    <row r="116" spans="2:9" ht="13.5">
      <c r="B116" t="s">
        <v>133</v>
      </c>
      <c r="E116" t="s">
        <v>137</v>
      </c>
      <c r="F116" s="24">
        <f>Jtd_co/(Hth-F111)</f>
        <v>67267.19188298807</v>
      </c>
      <c r="G116" t="s">
        <v>59</v>
      </c>
      <c r="H116" t="s">
        <v>165</v>
      </c>
      <c r="I116" s="40">
        <f>Hth-F111</f>
        <v>34.34767277856136</v>
      </c>
    </row>
    <row r="117" spans="2:9" ht="13.5">
      <c r="B117" t="s">
        <v>134</v>
      </c>
      <c r="E117" t="s">
        <v>138</v>
      </c>
      <c r="F117" s="24">
        <f>Jtd_co/F111</f>
        <v>23904.975306348162</v>
      </c>
      <c r="G117" t="s">
        <v>59</v>
      </c>
      <c r="H117" t="s">
        <v>167</v>
      </c>
      <c r="I117" s="40">
        <f>F111</f>
        <v>96.65232722143864</v>
      </c>
    </row>
    <row r="119" ht="15.75">
      <c r="B119" s="2" t="s">
        <v>139</v>
      </c>
    </row>
    <row r="120" spans="1:7" ht="13.5">
      <c r="A120" s="3"/>
      <c r="B120" s="3"/>
      <c r="C120" s="3"/>
      <c r="D120" s="3"/>
      <c r="E120" s="3"/>
      <c r="F120" s="3"/>
      <c r="G120" s="3"/>
    </row>
    <row r="121" spans="1:8" ht="17.25">
      <c r="A121" s="19" t="s">
        <v>140</v>
      </c>
      <c r="B121" s="19" t="s">
        <v>141</v>
      </c>
      <c r="C121" s="19" t="s">
        <v>142</v>
      </c>
      <c r="D121" s="19" t="s">
        <v>143</v>
      </c>
      <c r="E121" s="19" t="s">
        <v>145</v>
      </c>
      <c r="F121" s="19" t="s">
        <v>144</v>
      </c>
      <c r="G121" s="19" t="s">
        <v>101</v>
      </c>
      <c r="H121" s="19" t="s">
        <v>113</v>
      </c>
    </row>
    <row r="122" spans="1:8" ht="13.5">
      <c r="A122" s="6"/>
      <c r="B122" s="6"/>
      <c r="C122" s="6"/>
      <c r="D122" s="6"/>
      <c r="E122" s="6"/>
      <c r="F122" s="6"/>
      <c r="G122" s="6"/>
      <c r="H122" s="6"/>
    </row>
    <row r="123" spans="1:8" ht="13.5">
      <c r="A123" s="16">
        <f>Ftd_co</f>
        <v>709</v>
      </c>
      <c r="B123" s="16">
        <f>Jtd_co</f>
        <v>2310471.495529573</v>
      </c>
      <c r="C123" s="16">
        <f>F116</f>
        <v>67267.19188298807</v>
      </c>
      <c r="D123" s="16">
        <f>F117</f>
        <v>23904.975306348162</v>
      </c>
      <c r="E123" s="16">
        <f>F114</f>
        <v>39598.348751597645</v>
      </c>
      <c r="F123" s="16">
        <f>F115</f>
        <v>45776.68208034672</v>
      </c>
      <c r="G123" s="16"/>
      <c r="H123" s="30"/>
    </row>
    <row r="124" spans="1:8" ht="13.5">
      <c r="A124" s="6"/>
      <c r="B124" s="6"/>
      <c r="C124" s="6"/>
      <c r="D124" s="6"/>
      <c r="E124" s="6"/>
      <c r="F124" s="6"/>
      <c r="G124" s="6"/>
      <c r="H124" s="6"/>
    </row>
  </sheetData>
  <printOptions/>
  <pageMargins left="1.2598425196850394" right="0.31496062992125984" top="0.984251968503937" bottom="0.7480314960629921" header="0" footer="0"/>
  <pageSetup horizontalDpi="300" verticalDpi="300" orientation="portrait" paperSize="9" r:id="rId23"/>
  <headerFooter alignWithMargins="0">
    <oddHeader>&amp;L&amp;8Chu ViÕt B×nh</oddHeader>
  </headerFooter>
  <drawing r:id="rId22"/>
  <legacyDrawing r:id="rId21"/>
  <oleObjects>
    <oleObject progId="Equation.3" shapeId="167326" r:id="rId1"/>
    <oleObject progId="Equation.3" shapeId="174572" r:id="rId2"/>
    <oleObject progId="Equation.3" shapeId="201197" r:id="rId3"/>
    <oleObject progId="Equation.3" shapeId="230478" r:id="rId4"/>
    <oleObject progId="Equation.3" shapeId="265370" r:id="rId5"/>
    <oleObject progId="Equation.3" shapeId="277269" r:id="rId6"/>
    <oleObject progId="Equation.3" shapeId="286083" r:id="rId7"/>
    <oleObject progId="Equation.3" shapeId="321317" r:id="rId8"/>
    <oleObject progId="Equation.3" shapeId="334644" r:id="rId9"/>
    <oleObject progId="Equation.3" shapeId="346936" r:id="rId10"/>
    <oleObject progId="Equation.3" shapeId="358626" r:id="rId11"/>
    <oleObject progId="Equation.3" shapeId="527550" r:id="rId12"/>
    <oleObject progId="Equation.3" shapeId="586678" r:id="rId13"/>
    <oleObject progId="Equation.3" shapeId="605673" r:id="rId14"/>
    <oleObject progId="Equation.3" shapeId="158930" r:id="rId15"/>
    <oleObject progId="Equation.3" shapeId="169653" r:id="rId16"/>
    <oleObject progId="Equation.3" shapeId="186800" r:id="rId17"/>
    <oleObject progId="Equation.3" shapeId="200012" r:id="rId18"/>
    <oleObject progId="AutoCAD.Drawing.14" shapeId="119986" r:id="rId19"/>
    <oleObject progId="Equation.3" shapeId="831239" r:id="rId2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 VIET BINH</dc:creator>
  <cp:keywords/>
  <dc:description/>
  <cp:lastModifiedBy>user</cp:lastModifiedBy>
  <cp:lastPrinted>2004-08-25T15:48:08Z</cp:lastPrinted>
  <dcterms:created xsi:type="dcterms:W3CDTF">1998-10-14T07:18:31Z</dcterms:created>
  <dcterms:modified xsi:type="dcterms:W3CDTF">2004-10-18T16:04:30Z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