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G55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Nhập giá trị độ phút giây</t>
        </r>
      </text>
    </comment>
  </commentList>
</comments>
</file>

<file path=xl/sharedStrings.xml><?xml version="1.0" encoding="utf-8"?>
<sst xmlns="http://schemas.openxmlformats.org/spreadsheetml/2006/main" count="294" uniqueCount="146">
  <si>
    <t>j=(mm)</t>
  </si>
  <si>
    <t>J=(mm)</t>
  </si>
  <si>
    <t>STT</t>
  </si>
  <si>
    <t>Dưới</t>
  </si>
  <si>
    <t>Giữa</t>
  </si>
  <si>
    <t>Trên</t>
  </si>
  <si>
    <t xml:space="preserve">Độ </t>
  </si>
  <si>
    <t>Phút</t>
  </si>
  <si>
    <t xml:space="preserve">Góc bằng </t>
  </si>
  <si>
    <t>Số  đọc mia</t>
  </si>
  <si>
    <t>Góc đứng</t>
  </si>
  <si>
    <t>I</t>
  </si>
  <si>
    <t>II</t>
  </si>
  <si>
    <t>IV</t>
  </si>
  <si>
    <t>V</t>
  </si>
  <si>
    <t>VI</t>
  </si>
  <si>
    <t>VII</t>
  </si>
  <si>
    <t>VIII</t>
  </si>
  <si>
    <t>X</t>
  </si>
  <si>
    <t>IX</t>
  </si>
  <si>
    <t>Khoảng cách</t>
  </si>
  <si>
    <t>(mm)</t>
  </si>
  <si>
    <t>Trạm A</t>
  </si>
  <si>
    <t>J= ( mm )</t>
  </si>
  <si>
    <t>Góc định hướng cạnh AB</t>
  </si>
  <si>
    <t>Tên</t>
  </si>
  <si>
    <t>điểm</t>
  </si>
  <si>
    <t>A</t>
  </si>
  <si>
    <t>B</t>
  </si>
  <si>
    <t>C</t>
  </si>
  <si>
    <t>D</t>
  </si>
  <si>
    <t>Độ</t>
  </si>
  <si>
    <t xml:space="preserve">Phút </t>
  </si>
  <si>
    <t>Giây</t>
  </si>
  <si>
    <t>Alpha AB=</t>
  </si>
  <si>
    <t>Tổng</t>
  </si>
  <si>
    <t>f Beta ('')</t>
  </si>
  <si>
    <t>v Beta ('')</t>
  </si>
  <si>
    <t>Cạnh đo</t>
  </si>
  <si>
    <t>Vx</t>
  </si>
  <si>
    <t>Tọa độ X</t>
  </si>
  <si>
    <t>Vy</t>
  </si>
  <si>
    <t>Tọa độ Y</t>
  </si>
  <si>
    <t>Tổng Vx=</t>
  </si>
  <si>
    <t>m</t>
  </si>
  <si>
    <t>Tổng Vy</t>
  </si>
  <si>
    <t>Tính bình sai đường chuyền độ cao khép kín</t>
  </si>
  <si>
    <t>Độ cao mốc A, Ha = 109.750(m)+No(m) =</t>
  </si>
  <si>
    <t>Chênh cao</t>
  </si>
  <si>
    <t>Chênh</t>
  </si>
  <si>
    <t>Khoảng</t>
  </si>
  <si>
    <t xml:space="preserve">hiệu chỉnh </t>
  </si>
  <si>
    <t xml:space="preserve">Số </t>
  </si>
  <si>
    <t>Độ cao Hi</t>
  </si>
  <si>
    <t>fh</t>
  </si>
  <si>
    <t>Tổng S</t>
  </si>
  <si>
    <t xml:space="preserve"> cách S</t>
  </si>
  <si>
    <t xml:space="preserve"> cao hi,i+1</t>
  </si>
  <si>
    <t>Bảng thống kê tọa độ lưới khống chế đo vẽ</t>
  </si>
  <si>
    <t>Y</t>
  </si>
  <si>
    <t>H</t>
  </si>
  <si>
    <t>(m)</t>
  </si>
  <si>
    <t>fh= (mm)</t>
  </si>
  <si>
    <t>&lt;50(mm)*L^(1/2)=</t>
  </si>
  <si>
    <t>Tọa Độ X</t>
  </si>
  <si>
    <t>Tọa Độ Y</t>
  </si>
  <si>
    <t>Độ Cao H</t>
  </si>
  <si>
    <t>Góc định</t>
  </si>
  <si>
    <t>hướng</t>
  </si>
  <si>
    <t>Alpha A,i</t>
  </si>
  <si>
    <t>Alpha B,i</t>
  </si>
  <si>
    <t>Alpha C,i</t>
  </si>
  <si>
    <t>Max =</t>
  </si>
  <si>
    <t>Min =</t>
  </si>
  <si>
    <t>Sổ Đo chi tiết</t>
  </si>
  <si>
    <t>XI</t>
  </si>
  <si>
    <t>XII</t>
  </si>
  <si>
    <t>XIV</t>
  </si>
  <si>
    <t>XV</t>
  </si>
  <si>
    <t>Trạm B</t>
  </si>
  <si>
    <t>Trạm C</t>
  </si>
  <si>
    <t>Trạm D</t>
  </si>
  <si>
    <t>Tính đường chuyền trắc địa khép kín</t>
  </si>
  <si>
    <t>Hãy nhập số Thứ tự bài tập của bạn =</t>
  </si>
  <si>
    <t>Độ (Nhớ đổi ra độ,phút,giây khi ghi vào bài tập đối với các góc thập phân)</t>
  </si>
  <si>
    <t xml:space="preserve">Góc định </t>
  </si>
  <si>
    <t>mép đường</t>
  </si>
  <si>
    <t>tim đường</t>
  </si>
  <si>
    <t>cột điện</t>
  </si>
  <si>
    <t>biến thế</t>
  </si>
  <si>
    <t>lúa</t>
  </si>
  <si>
    <t>cây</t>
  </si>
  <si>
    <t>bờ hồ</t>
  </si>
  <si>
    <t>hồ</t>
  </si>
  <si>
    <t>đồi cỏ</t>
  </si>
  <si>
    <t>đồi cây</t>
  </si>
  <si>
    <t>cột đIện</t>
  </si>
  <si>
    <t>bờ cỏ</t>
  </si>
  <si>
    <t>nhà c4</t>
  </si>
  <si>
    <t>dỉnh đồi</t>
  </si>
  <si>
    <t>chân đồi</t>
  </si>
  <si>
    <t>đỉnh đồi</t>
  </si>
  <si>
    <t>tim ngã 3</t>
  </si>
  <si>
    <t>nghĩa trang</t>
  </si>
  <si>
    <t>nhàb2</t>
  </si>
  <si>
    <t>nhà b2</t>
  </si>
  <si>
    <t>mép hồ</t>
  </si>
  <si>
    <t>Tính sổ đo góc bằng</t>
  </si>
  <si>
    <t>Trạm đo</t>
  </si>
  <si>
    <t>Lần đo</t>
  </si>
  <si>
    <t>Lần 1</t>
  </si>
  <si>
    <t>Lần 2</t>
  </si>
  <si>
    <t>Lần 3</t>
  </si>
  <si>
    <t>Hướng đo</t>
  </si>
  <si>
    <t xml:space="preserve">Thuận </t>
  </si>
  <si>
    <t>Đảo</t>
  </si>
  <si>
    <t>Trung bình hướng</t>
  </si>
  <si>
    <t>Góc</t>
  </si>
  <si>
    <t>Số đọc bàn độ ngang</t>
  </si>
  <si>
    <t>Trung bình góc BAC</t>
  </si>
  <si>
    <t>Trung bình góc BAD</t>
  </si>
  <si>
    <t>Tinh Sổ Đo Cao</t>
  </si>
  <si>
    <t>1,</t>
  </si>
  <si>
    <t>2,</t>
  </si>
  <si>
    <t>Điểm</t>
  </si>
  <si>
    <t xml:space="preserve">Khoảng </t>
  </si>
  <si>
    <t>cách</t>
  </si>
  <si>
    <t>Số đọc mia</t>
  </si>
  <si>
    <t>Sau S</t>
  </si>
  <si>
    <t>Trước T</t>
  </si>
  <si>
    <t>mm</t>
  </si>
  <si>
    <t>Hiệu chỉnh</t>
  </si>
  <si>
    <t>Độ cao</t>
  </si>
  <si>
    <t>Hi</t>
  </si>
  <si>
    <t>HB-HA=</t>
  </si>
  <si>
    <t>Cho</t>
  </si>
  <si>
    <t>Mốc độ cao A: Ha=10(m)+No(m)=</t>
  </si>
  <si>
    <t>Mốc độ cao B: Hb=13.426(m)+No(m)=</t>
  </si>
  <si>
    <t>fh(mm)=</t>
  </si>
  <si>
    <r>
      <t xml:space="preserve">H </t>
    </r>
    <r>
      <rPr>
        <b/>
        <sz val="8"/>
        <rFont val="Arial"/>
        <family val="2"/>
      </rPr>
      <t>i,i+1</t>
    </r>
  </si>
  <si>
    <r>
      <t>V</t>
    </r>
    <r>
      <rPr>
        <b/>
        <sz val="8"/>
        <rFont val="Arial"/>
        <family val="2"/>
      </rPr>
      <t>hi,hi+1</t>
    </r>
  </si>
  <si>
    <t xml:space="preserve"> +No =</t>
  </si>
  <si>
    <r>
      <t xml:space="preserve">Góc Bằng - </t>
    </r>
    <r>
      <rPr>
        <b/>
        <sz val="10"/>
        <rFont val="Symbol"/>
        <family val="1"/>
      </rPr>
      <t>b</t>
    </r>
  </si>
  <si>
    <t>Góc định hướng - α</t>
  </si>
  <si>
    <r>
      <rPr>
        <b/>
        <sz val="10"/>
        <rFont val="Calibri"/>
        <family val="2"/>
      </rPr>
      <t>Δ</t>
    </r>
    <r>
      <rPr>
        <b/>
        <sz val="10"/>
        <rFont val="Arial"/>
        <family val="0"/>
      </rPr>
      <t>X</t>
    </r>
  </si>
  <si>
    <r>
      <rPr>
        <b/>
        <sz val="10"/>
        <rFont val="Calibri"/>
        <family val="2"/>
      </rPr>
      <t>Δ</t>
    </r>
    <r>
      <rPr>
        <b/>
        <sz val="10"/>
        <rFont val="Arial"/>
        <family val="0"/>
      </rPr>
      <t>Y</t>
    </r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</si>
</sst>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"/>
    <numFmt numFmtId="171" formatCode="0.00000"/>
    <numFmt numFmtId="172" formatCode="[$-409]dddd\,\ mmmm\ dd\,\ yyyy"/>
    <numFmt numFmtId="173" formatCode="[$-409]h:mm:ss\ AM/PM"/>
    <numFmt numFmtId="174" formatCode="[h]&quot;° &quot;mm&quot;' &quot;ss&quot;''&quot;"/>
  </numFmts>
  <fonts count="55">
    <font>
      <sz val="10"/>
      <name val="Arial"/>
      <family val="0"/>
    </font>
    <font>
      <sz val="8"/>
      <name val="Arial"/>
      <family val="0"/>
    </font>
    <font>
      <b/>
      <sz val="10"/>
      <color indexed="11"/>
      <name val="Arial"/>
      <family val="2"/>
    </font>
    <font>
      <b/>
      <sz val="10"/>
      <name val="Arial"/>
      <family val="2"/>
    </font>
    <font>
      <sz val="11"/>
      <name val="Arial"/>
      <family val="0"/>
    </font>
    <font>
      <b/>
      <sz val="11"/>
      <color indexed="10"/>
      <name val="Arial"/>
      <family val="2"/>
    </font>
    <font>
      <b/>
      <sz val="11"/>
      <name val="Arial"/>
      <family val="2"/>
    </font>
    <font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  <font>
      <b/>
      <sz val="11"/>
      <name val="Times New Roman"/>
      <family val="1"/>
    </font>
    <font>
      <b/>
      <sz val="18"/>
      <color indexed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10"/>
      <name val="Symbol"/>
      <family val="1"/>
    </font>
    <font>
      <b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93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164" fontId="0" fillId="33" borderId="10" xfId="0" applyNumberFormat="1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33" borderId="11" xfId="0" applyFill="1" applyBorder="1" applyAlignment="1">
      <alignment/>
    </xf>
    <xf numFmtId="0" fontId="0" fillId="33" borderId="11" xfId="0" applyFill="1" applyBorder="1" applyAlignment="1">
      <alignment horizontal="center"/>
    </xf>
    <xf numFmtId="164" fontId="0" fillId="33" borderId="10" xfId="0" applyNumberFormat="1" applyFill="1" applyBorder="1" applyAlignment="1">
      <alignment horizontal="center"/>
    </xf>
    <xf numFmtId="164" fontId="0" fillId="33" borderId="11" xfId="0" applyNumberFormat="1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2" fillId="34" borderId="10" xfId="0" applyFont="1" applyFill="1" applyBorder="1" applyAlignment="1">
      <alignment horizontal="center"/>
    </xf>
    <xf numFmtId="164" fontId="0" fillId="35" borderId="10" xfId="0" applyNumberFormat="1" applyFill="1" applyBorder="1" applyAlignment="1">
      <alignment/>
    </xf>
    <xf numFmtId="164" fontId="0" fillId="35" borderId="10" xfId="0" applyNumberFormat="1" applyFill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5" fillId="35" borderId="1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/>
    </xf>
    <xf numFmtId="0" fontId="4" fillId="0" borderId="10" xfId="0" applyFont="1" applyBorder="1" applyAlignment="1">
      <alignment/>
    </xf>
    <xf numFmtId="165" fontId="0" fillId="0" borderId="10" xfId="0" applyNumberFormat="1" applyBorder="1" applyAlignment="1">
      <alignment/>
    </xf>
    <xf numFmtId="164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164" fontId="3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center"/>
    </xf>
    <xf numFmtId="2" fontId="3" fillId="0" borderId="10" xfId="0" applyNumberFormat="1" applyFont="1" applyBorder="1" applyAlignment="1">
      <alignment/>
    </xf>
    <xf numFmtId="0" fontId="7" fillId="33" borderId="10" xfId="0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170" fontId="0" fillId="0" borderId="10" xfId="0" applyNumberForma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33" borderId="10" xfId="0" applyFont="1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10" fillId="36" borderId="17" xfId="0" applyFont="1" applyFill="1" applyBorder="1" applyAlignment="1">
      <alignment horizontal="center"/>
    </xf>
    <xf numFmtId="0" fontId="10" fillId="36" borderId="18" xfId="0" applyFont="1" applyFill="1" applyBorder="1" applyAlignment="1">
      <alignment horizontal="center"/>
    </xf>
    <xf numFmtId="0" fontId="10" fillId="36" borderId="18" xfId="0" applyFont="1" applyFill="1" applyBorder="1" applyAlignment="1">
      <alignment horizontal="left"/>
    </xf>
    <xf numFmtId="0" fontId="10" fillId="36" borderId="19" xfId="0" applyFont="1" applyFill="1" applyBorder="1" applyAlignment="1">
      <alignment/>
    </xf>
    <xf numFmtId="0" fontId="3" fillId="37" borderId="10" xfId="0" applyFont="1" applyFill="1" applyBorder="1" applyAlignment="1">
      <alignment/>
    </xf>
    <xf numFmtId="170" fontId="0" fillId="0" borderId="0" xfId="0" applyNumberFormat="1" applyAlignment="1">
      <alignment/>
    </xf>
    <xf numFmtId="0" fontId="3" fillId="38" borderId="13" xfId="0" applyFont="1" applyFill="1" applyBorder="1" applyAlignment="1">
      <alignment horizontal="center"/>
    </xf>
    <xf numFmtId="0" fontId="3" fillId="38" borderId="10" xfId="0" applyFont="1" applyFill="1" applyBorder="1" applyAlignment="1">
      <alignment horizontal="center"/>
    </xf>
    <xf numFmtId="0" fontId="3" fillId="38" borderId="11" xfId="0" applyFont="1" applyFill="1" applyBorder="1" applyAlignment="1">
      <alignment horizontal="center"/>
    </xf>
    <xf numFmtId="0" fontId="0" fillId="38" borderId="10" xfId="0" applyFill="1" applyBorder="1" applyAlignment="1">
      <alignment horizontal="center"/>
    </xf>
    <xf numFmtId="2" fontId="0" fillId="38" borderId="10" xfId="0" applyNumberFormat="1" applyFill="1" applyBorder="1" applyAlignment="1">
      <alignment/>
    </xf>
    <xf numFmtId="170" fontId="0" fillId="38" borderId="10" xfId="0" applyNumberFormat="1" applyFill="1" applyBorder="1" applyAlignment="1">
      <alignment/>
    </xf>
    <xf numFmtId="2" fontId="0" fillId="38" borderId="10" xfId="0" applyNumberFormat="1" applyFont="1" applyFill="1" applyBorder="1" applyAlignment="1">
      <alignment/>
    </xf>
    <xf numFmtId="170" fontId="0" fillId="38" borderId="10" xfId="0" applyNumberFormat="1" applyFont="1" applyFill="1" applyBorder="1" applyAlignment="1">
      <alignment/>
    </xf>
    <xf numFmtId="0" fontId="0" fillId="38" borderId="10" xfId="0" applyFill="1" applyBorder="1" applyAlignment="1">
      <alignment/>
    </xf>
    <xf numFmtId="170" fontId="0" fillId="35" borderId="10" xfId="0" applyNumberForma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164" fontId="3" fillId="33" borderId="10" xfId="0" applyNumberFormat="1" applyFont="1" applyFill="1" applyBorder="1" applyAlignment="1">
      <alignment/>
    </xf>
    <xf numFmtId="164" fontId="3" fillId="33" borderId="10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164" fontId="3" fillId="0" borderId="0" xfId="0" applyNumberFormat="1" applyFont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6" xfId="0" applyBorder="1" applyAlignment="1">
      <alignment/>
    </xf>
    <xf numFmtId="0" fontId="12" fillId="0" borderId="0" xfId="0" applyFont="1" applyBorder="1" applyAlignment="1">
      <alignment/>
    </xf>
    <xf numFmtId="0" fontId="12" fillId="0" borderId="22" xfId="0" applyFont="1" applyBorder="1" applyAlignment="1">
      <alignment/>
    </xf>
    <xf numFmtId="2" fontId="10" fillId="35" borderId="10" xfId="0" applyNumberFormat="1" applyFont="1" applyFill="1" applyBorder="1" applyAlignment="1">
      <alignment/>
    </xf>
    <xf numFmtId="170" fontId="0" fillId="0" borderId="11" xfId="0" applyNumberFormat="1" applyBorder="1" applyAlignment="1">
      <alignment/>
    </xf>
    <xf numFmtId="164" fontId="0" fillId="0" borderId="0" xfId="0" applyNumberFormat="1" applyFill="1" applyBorder="1" applyAlignment="1">
      <alignment/>
    </xf>
    <xf numFmtId="170" fontId="0" fillId="0" borderId="0" xfId="0" applyNumberFormat="1" applyBorder="1" applyAlignment="1">
      <alignment/>
    </xf>
    <xf numFmtId="165" fontId="0" fillId="0" borderId="0" xfId="0" applyNumberForma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170" fontId="0" fillId="0" borderId="26" xfId="0" applyNumberFormat="1" applyBorder="1" applyAlignment="1">
      <alignment/>
    </xf>
    <xf numFmtId="170" fontId="0" fillId="0" borderId="25" xfId="0" applyNumberFormat="1" applyBorder="1" applyAlignment="1">
      <alignment/>
    </xf>
    <xf numFmtId="165" fontId="0" fillId="0" borderId="26" xfId="0" applyNumberFormat="1" applyBorder="1" applyAlignment="1">
      <alignment/>
    </xf>
    <xf numFmtId="165" fontId="3" fillId="0" borderId="25" xfId="0" applyNumberFormat="1" applyFont="1" applyBorder="1" applyAlignment="1">
      <alignment/>
    </xf>
    <xf numFmtId="164" fontId="0" fillId="0" borderId="26" xfId="0" applyNumberFormat="1" applyFill="1" applyBorder="1" applyAlignment="1">
      <alignment/>
    </xf>
    <xf numFmtId="164" fontId="0" fillId="0" borderId="25" xfId="0" applyNumberFormat="1" applyFill="1" applyBorder="1" applyAlignment="1">
      <alignment/>
    </xf>
    <xf numFmtId="0" fontId="0" fillId="0" borderId="27" xfId="0" applyBorder="1" applyAlignment="1">
      <alignment/>
    </xf>
    <xf numFmtId="164" fontId="0" fillId="35" borderId="11" xfId="0" applyNumberFormat="1" applyFill="1" applyBorder="1" applyAlignment="1">
      <alignment/>
    </xf>
    <xf numFmtId="165" fontId="0" fillId="0" borderId="11" xfId="0" applyNumberFormat="1" applyBorder="1" applyAlignment="1">
      <alignment/>
    </xf>
    <xf numFmtId="170" fontId="0" fillId="35" borderId="11" xfId="0" applyNumberFormat="1" applyFill="1" applyBorder="1" applyAlignment="1">
      <alignment/>
    </xf>
    <xf numFmtId="164" fontId="0" fillId="0" borderId="0" xfId="0" applyNumberFormat="1" applyFill="1" applyBorder="1" applyAlignment="1">
      <alignment horizontal="center"/>
    </xf>
    <xf numFmtId="170" fontId="0" fillId="0" borderId="0" xfId="0" applyNumberFormat="1" applyBorder="1" applyAlignment="1">
      <alignment horizontal="center"/>
    </xf>
    <xf numFmtId="164" fontId="0" fillId="0" borderId="25" xfId="0" applyNumberFormat="1" applyFill="1" applyBorder="1" applyAlignment="1">
      <alignment horizontal="center"/>
    </xf>
    <xf numFmtId="170" fontId="0" fillId="0" borderId="25" xfId="0" applyNumberFormat="1" applyBorder="1" applyAlignment="1">
      <alignment horizontal="center"/>
    </xf>
    <xf numFmtId="2" fontId="0" fillId="0" borderId="25" xfId="0" applyNumberFormat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10" fillId="35" borderId="28" xfId="0" applyFont="1" applyFill="1" applyBorder="1" applyAlignment="1">
      <alignment/>
    </xf>
    <xf numFmtId="170" fontId="0" fillId="0" borderId="29" xfId="0" applyNumberFormat="1" applyBorder="1" applyAlignment="1">
      <alignment/>
    </xf>
    <xf numFmtId="170" fontId="0" fillId="0" borderId="12" xfId="0" applyNumberFormat="1" applyBorder="1" applyAlignment="1">
      <alignment/>
    </xf>
    <xf numFmtId="0" fontId="0" fillId="0" borderId="29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164" fontId="3" fillId="39" borderId="10" xfId="0" applyNumberFormat="1" applyFont="1" applyFill="1" applyBorder="1" applyAlignment="1">
      <alignment/>
    </xf>
    <xf numFmtId="0" fontId="3" fillId="39" borderId="31" xfId="0" applyFont="1" applyFill="1" applyBorder="1" applyAlignment="1">
      <alignment horizontal="center"/>
    </xf>
    <xf numFmtId="164" fontId="3" fillId="40" borderId="10" xfId="0" applyNumberFormat="1" applyFont="1" applyFill="1" applyBorder="1" applyAlignment="1">
      <alignment/>
    </xf>
    <xf numFmtId="0" fontId="0" fillId="40" borderId="10" xfId="0" applyFill="1" applyBorder="1" applyAlignment="1">
      <alignment/>
    </xf>
    <xf numFmtId="0" fontId="0" fillId="39" borderId="28" xfId="0" applyFill="1" applyBorder="1" applyAlignment="1">
      <alignment/>
    </xf>
    <xf numFmtId="0" fontId="0" fillId="0" borderId="29" xfId="0" applyBorder="1" applyAlignment="1">
      <alignment/>
    </xf>
    <xf numFmtId="0" fontId="0" fillId="39" borderId="13" xfId="0" applyFill="1" applyBorder="1" applyAlignment="1">
      <alignment horizontal="center"/>
    </xf>
    <xf numFmtId="0" fontId="0" fillId="39" borderId="30" xfId="0" applyFill="1" applyBorder="1" applyAlignment="1">
      <alignment horizontal="center"/>
    </xf>
    <xf numFmtId="0" fontId="3" fillId="39" borderId="11" xfId="0" applyFont="1" applyFill="1" applyBorder="1" applyAlignment="1">
      <alignment horizontal="center"/>
    </xf>
    <xf numFmtId="2" fontId="0" fillId="33" borderId="10" xfId="0" applyNumberFormat="1" applyFill="1" applyBorder="1" applyAlignment="1">
      <alignment/>
    </xf>
    <xf numFmtId="164" fontId="3" fillId="33" borderId="28" xfId="0" applyNumberFormat="1" applyFont="1" applyFill="1" applyBorder="1" applyAlignment="1">
      <alignment/>
    </xf>
    <xf numFmtId="0" fontId="3" fillId="33" borderId="32" xfId="0" applyFont="1" applyFill="1" applyBorder="1" applyAlignment="1">
      <alignment/>
    </xf>
    <xf numFmtId="0" fontId="3" fillId="0" borderId="30" xfId="0" applyFont="1" applyBorder="1" applyAlignment="1">
      <alignment horizontal="center"/>
    </xf>
    <xf numFmtId="164" fontId="3" fillId="35" borderId="11" xfId="0" applyNumberFormat="1" applyFont="1" applyFill="1" applyBorder="1" applyAlignment="1">
      <alignment horizontal="center"/>
    </xf>
    <xf numFmtId="164" fontId="3" fillId="35" borderId="13" xfId="0" applyNumberFormat="1" applyFont="1" applyFill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/>
    </xf>
    <xf numFmtId="2" fontId="3" fillId="0" borderId="11" xfId="0" applyNumberFormat="1" applyFont="1" applyBorder="1" applyAlignment="1">
      <alignment horizontal="center"/>
    </xf>
    <xf numFmtId="170" fontId="10" fillId="36" borderId="18" xfId="0" applyNumberFormat="1" applyFont="1" applyFill="1" applyBorder="1" applyAlignment="1">
      <alignment horizontal="right"/>
    </xf>
    <xf numFmtId="0" fontId="13" fillId="0" borderId="0" xfId="0" applyFont="1" applyAlignment="1">
      <alignment/>
    </xf>
    <xf numFmtId="171" fontId="0" fillId="0" borderId="0" xfId="0" applyNumberFormat="1" applyAlignment="1">
      <alignment/>
    </xf>
    <xf numFmtId="171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1" fontId="3" fillId="0" borderId="10" xfId="0" applyNumberFormat="1" applyFont="1" applyBorder="1" applyAlignment="1">
      <alignment/>
    </xf>
    <xf numFmtId="170" fontId="0" fillId="35" borderId="24" xfId="0" applyNumberFormat="1" applyFill="1" applyBorder="1" applyAlignment="1">
      <alignment/>
    </xf>
    <xf numFmtId="170" fontId="0" fillId="35" borderId="32" xfId="0" applyNumberFormat="1" applyFill="1" applyBorder="1" applyAlignment="1">
      <alignment/>
    </xf>
    <xf numFmtId="0" fontId="0" fillId="0" borderId="0" xfId="0" applyFont="1" applyAlignment="1">
      <alignment horizontal="right"/>
    </xf>
    <xf numFmtId="0" fontId="0" fillId="0" borderId="10" xfId="0" applyFont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11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25" xfId="0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26" xfId="0" applyFont="1" applyBorder="1" applyAlignment="1">
      <alignment horizontal="right"/>
    </xf>
    <xf numFmtId="0" fontId="0" fillId="0" borderId="26" xfId="0" applyBorder="1" applyAlignment="1">
      <alignment horizontal="right"/>
    </xf>
    <xf numFmtId="0" fontId="0" fillId="0" borderId="12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30" xfId="0" applyBorder="1" applyAlignment="1">
      <alignment/>
    </xf>
    <xf numFmtId="0" fontId="0" fillId="0" borderId="28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11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5" xfId="0" applyFill="1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8" xfId="0" applyFill="1" applyBorder="1" applyAlignment="1">
      <alignment/>
    </xf>
    <xf numFmtId="0" fontId="0" fillId="0" borderId="39" xfId="0" applyBorder="1" applyAlignment="1">
      <alignment/>
    </xf>
    <xf numFmtId="0" fontId="0" fillId="0" borderId="33" xfId="0" applyBorder="1" applyAlignment="1">
      <alignment horizontal="center"/>
    </xf>
    <xf numFmtId="0" fontId="0" fillId="0" borderId="0" xfId="0" applyFont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left"/>
    </xf>
    <xf numFmtId="0" fontId="3" fillId="0" borderId="33" xfId="0" applyFont="1" applyBorder="1" applyAlignment="1">
      <alignment/>
    </xf>
    <xf numFmtId="0" fontId="3" fillId="0" borderId="31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28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14" fillId="0" borderId="12" xfId="0" applyFont="1" applyFill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0" fillId="0" borderId="13" xfId="0" applyBorder="1" applyAlignment="1">
      <alignment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left"/>
    </xf>
    <xf numFmtId="2" fontId="0" fillId="35" borderId="11" xfId="0" applyNumberFormat="1" applyFill="1" applyBorder="1" applyAlignment="1">
      <alignment/>
    </xf>
    <xf numFmtId="2" fontId="0" fillId="35" borderId="10" xfId="0" applyNumberFormat="1" applyFill="1" applyBorder="1" applyAlignment="1">
      <alignment/>
    </xf>
    <xf numFmtId="2" fontId="0" fillId="0" borderId="26" xfId="0" applyNumberFormat="1" applyBorder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Alignment="1">
      <alignment/>
    </xf>
    <xf numFmtId="0" fontId="0" fillId="0" borderId="0" xfId="0" applyAlignment="1" quotePrefix="1">
      <alignment/>
    </xf>
    <xf numFmtId="174" fontId="54" fillId="0" borderId="0" xfId="0" applyNumberFormat="1" applyFont="1" applyAlignment="1">
      <alignment/>
    </xf>
    <xf numFmtId="0" fontId="3" fillId="0" borderId="32" xfId="0" applyFont="1" applyBorder="1" applyAlignment="1">
      <alignment horizontal="centerContinuous"/>
    </xf>
    <xf numFmtId="0" fontId="3" fillId="0" borderId="28" xfId="0" applyFont="1" applyBorder="1" applyAlignment="1">
      <alignment horizontal="centerContinuous"/>
    </xf>
    <xf numFmtId="0" fontId="11" fillId="0" borderId="10" xfId="0" applyFont="1" applyBorder="1" applyAlignment="1">
      <alignment horizontal="centerContinuous"/>
    </xf>
    <xf numFmtId="2" fontId="7" fillId="33" borderId="10" xfId="0" applyNumberFormat="1" applyFont="1" applyFill="1" applyBorder="1" applyAlignment="1">
      <alignment/>
    </xf>
    <xf numFmtId="0" fontId="3" fillId="41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05"/>
  <sheetViews>
    <sheetView tabSelected="1" zoomScalePageLayoutView="0" workbookViewId="0" topLeftCell="A49">
      <selection activeCell="L53" sqref="L53"/>
    </sheetView>
  </sheetViews>
  <sheetFormatPr defaultColWidth="9.140625" defaultRowHeight="12.75"/>
  <cols>
    <col min="1" max="1" width="3.140625" style="0" customWidth="1"/>
    <col min="2" max="2" width="4.140625" style="16" customWidth="1"/>
    <col min="4" max="4" width="9.57421875" style="4" customWidth="1"/>
    <col min="6" max="6" width="11.00390625" style="0" customWidth="1"/>
    <col min="7" max="7" width="10.00390625" style="0" customWidth="1"/>
    <col min="9" max="9" width="10.8515625" style="0" customWidth="1"/>
    <col min="10" max="10" width="9.421875" style="0" customWidth="1"/>
    <col min="11" max="12" width="10.28125" style="0" customWidth="1"/>
    <col min="14" max="14" width="10.140625" style="0" customWidth="1"/>
    <col min="16" max="16" width="10.28125" style="0" customWidth="1"/>
    <col min="17" max="17" width="11.140625" style="137" customWidth="1"/>
  </cols>
  <sheetData>
    <row r="1" ht="14.25">
      <c r="F1" s="19"/>
    </row>
    <row r="2" spans="2:7" ht="15">
      <c r="B2" s="69" t="s">
        <v>83</v>
      </c>
      <c r="G2" s="20">
        <v>24</v>
      </c>
    </row>
    <row r="3" ht="12.75"/>
    <row r="4" spans="2:18" s="15" customFormat="1" ht="12.75">
      <c r="B4" s="16" t="s">
        <v>122</v>
      </c>
      <c r="C4" s="15" t="s">
        <v>107</v>
      </c>
      <c r="D4" s="4"/>
      <c r="E4"/>
      <c r="F4"/>
      <c r="G4"/>
      <c r="H4"/>
      <c r="I4"/>
      <c r="J4"/>
      <c r="K4"/>
      <c r="L4"/>
      <c r="M4"/>
      <c r="N4"/>
      <c r="O4"/>
      <c r="P4"/>
      <c r="Q4" s="137"/>
      <c r="R4"/>
    </row>
    <row r="5" ht="12.75"/>
    <row r="6" ht="12.75">
      <c r="C6" s="4"/>
    </row>
    <row r="7" spans="3:16" ht="12.75">
      <c r="C7" s="18" t="s">
        <v>108</v>
      </c>
      <c r="D7" s="18" t="s">
        <v>113</v>
      </c>
      <c r="E7" s="151"/>
      <c r="F7" s="166"/>
      <c r="G7" s="166" t="s">
        <v>118</v>
      </c>
      <c r="H7" s="166"/>
      <c r="I7" s="152"/>
      <c r="J7" s="150"/>
      <c r="K7" s="81"/>
      <c r="L7" s="84"/>
      <c r="M7" s="116"/>
      <c r="N7" s="81"/>
      <c r="O7" s="84"/>
      <c r="P7" s="116"/>
    </row>
    <row r="8" spans="3:16" ht="12.75">
      <c r="C8" s="18" t="s">
        <v>109</v>
      </c>
      <c r="D8" s="18"/>
      <c r="E8" s="151"/>
      <c r="F8" s="168" t="s">
        <v>114</v>
      </c>
      <c r="G8" s="169"/>
      <c r="H8" s="170"/>
      <c r="I8" s="168" t="s">
        <v>115</v>
      </c>
      <c r="J8" s="169"/>
      <c r="K8" s="171"/>
      <c r="L8" s="123" t="s">
        <v>116</v>
      </c>
      <c r="M8" s="36"/>
      <c r="N8" s="171"/>
      <c r="O8" s="172" t="s">
        <v>117</v>
      </c>
      <c r="P8" s="149"/>
    </row>
    <row r="9" spans="2:17" s="4" customFormat="1" ht="12.75">
      <c r="B9" s="16"/>
      <c r="C9" s="18"/>
      <c r="D9" s="18"/>
      <c r="E9" s="10" t="s">
        <v>31</v>
      </c>
      <c r="F9" s="10" t="s">
        <v>7</v>
      </c>
      <c r="G9" s="10" t="s">
        <v>33</v>
      </c>
      <c r="H9" s="10" t="s">
        <v>31</v>
      </c>
      <c r="I9" s="10" t="s">
        <v>7</v>
      </c>
      <c r="J9" s="10" t="s">
        <v>33</v>
      </c>
      <c r="K9" s="10" t="s">
        <v>31</v>
      </c>
      <c r="L9" s="10" t="s">
        <v>7</v>
      </c>
      <c r="M9" s="10" t="s">
        <v>33</v>
      </c>
      <c r="N9" s="10" t="s">
        <v>31</v>
      </c>
      <c r="O9" s="10" t="s">
        <v>7</v>
      </c>
      <c r="P9" s="10" t="s">
        <v>33</v>
      </c>
      <c r="Q9" s="163"/>
    </row>
    <row r="10" spans="3:16" ht="12.75">
      <c r="C10" s="39" t="s">
        <v>27</v>
      </c>
      <c r="D10" s="39" t="s">
        <v>28</v>
      </c>
      <c r="E10" s="154">
        <v>0</v>
      </c>
      <c r="F10" s="158">
        <v>0</v>
      </c>
      <c r="G10" s="116">
        <v>0</v>
      </c>
      <c r="H10" s="154">
        <v>180</v>
      </c>
      <c r="I10" s="158">
        <v>0</v>
      </c>
      <c r="J10" s="116">
        <v>10</v>
      </c>
      <c r="K10" s="11">
        <f>INT(IF(E10+F10/60+G10/3600&lt;H10+I10/60+J10/3600,((E10+F10/60+G10/3600)+(H10+I10/60+J10/3600)-180)/2,((E10+F10/60+G10/3600)+(H10+I10/60+J10/3600)+180))/2)</f>
        <v>0</v>
      </c>
      <c r="L10" s="11">
        <f>INT((IF(E10+F10/60+G10/3600&lt;H10+I10/60+J10/3600,((E10+F10/60+G10/3600+H10+I10/60+J10/3600-180)/2),(E10+F10/60+G10/3600+H10+I10/60+J10/3600+180)/2)-K10)*60)</f>
        <v>0</v>
      </c>
      <c r="M10" s="11">
        <f>(((IF(E10+F10/60+G10/3600&lt;H10+I10/60+J10/3600,((E10+F10/60+G10/3600+H10+I10/60+J10/3600-180)/2),(E10+F10/60+G10/3600+H10+I10/60+J10/3600+180)/2))-K10-L10/60)*3600)</f>
        <v>4.9999999999783995</v>
      </c>
      <c r="N10" s="11"/>
      <c r="O10" s="11"/>
      <c r="P10" s="11"/>
    </row>
    <row r="11" spans="3:16" ht="12.75">
      <c r="C11" s="167" t="s">
        <v>110</v>
      </c>
      <c r="D11" s="167" t="s">
        <v>29</v>
      </c>
      <c r="E11" s="155">
        <v>21</v>
      </c>
      <c r="F11" s="159">
        <v>16</v>
      </c>
      <c r="G11" s="147">
        <v>20</v>
      </c>
      <c r="H11" s="155">
        <v>201</v>
      </c>
      <c r="I11" s="159">
        <v>16</v>
      </c>
      <c r="J11" s="147">
        <v>10</v>
      </c>
      <c r="K11" s="11">
        <f>INT(IF(E11+F11/60+G11/3600&lt;H11+I11/60+J11/3600,((E11+F11/60+G11/3600+H11+I11/60+J11/3600-180)/2),((E11+F11/60+G11/3600+H11+I11/60+J11/3600+180)/2)))</f>
        <v>21</v>
      </c>
      <c r="L11" s="11">
        <f>INT((IF(E11+F11/60+G11/3600&lt;H11+I11/60+J11/3600,((E11+F11/60+G11/3600+H11+I11/60+J11/3600-180)/2),(E11+F11/60+G11/3600+H11+I11/60+J11/3600+180)/2)-K11)*60)</f>
        <v>16</v>
      </c>
      <c r="M11" s="11">
        <f aca="true" t="shared" si="0" ref="M11:M20">(((IF(E11+F11/60+G11/3600&lt;H11+I11/60+J11/3600,((E11+F11/60+G11/3600+H11+I11/60+J11/3600-180)/2),(E11+F11/60+G11/3600+H11+I11/60+J11/3600+180)/2))-K11-L11/60)*3600)</f>
        <v>14.999999999982961</v>
      </c>
      <c r="N11" s="11">
        <f aca="true" t="shared" si="1" ref="N11:P12">K11-K$10</f>
        <v>21</v>
      </c>
      <c r="O11" s="11">
        <f t="shared" si="1"/>
        <v>16</v>
      </c>
      <c r="P11" s="11">
        <f t="shared" si="1"/>
        <v>10.000000000004562</v>
      </c>
    </row>
    <row r="12" spans="3:16" ht="12.75">
      <c r="C12" s="167"/>
      <c r="D12" s="167" t="s">
        <v>30</v>
      </c>
      <c r="E12" s="155">
        <v>68</v>
      </c>
      <c r="F12" s="159">
        <v>37</v>
      </c>
      <c r="G12" s="147">
        <v>30</v>
      </c>
      <c r="H12" s="155">
        <v>248</v>
      </c>
      <c r="I12" s="159">
        <v>37</v>
      </c>
      <c r="J12" s="147">
        <v>40</v>
      </c>
      <c r="K12" s="11">
        <f aca="true" t="shared" si="2" ref="K12:K20">INT(IF(E12+F12/60+G12/3600&lt;H12+I12/60+J12/3600,((E12+F12/60+G12/3600+H12+I12/60+J12/3600-180)/2),((E12+F12/60+G12/3600+H12+I12/60+J12/3600+180)/2)))</f>
        <v>68</v>
      </c>
      <c r="L12" s="11">
        <f aca="true" t="shared" si="3" ref="L12:L20">INT((IF(E12+F12/60+G12/3600&lt;H12+I12/60+J12/3600,((E12+F12/60+G12/3600+H12+I12/60+J12/3600-180)/2),(E12+F12/60+G12/3600+H12+I12/60+J12/3600+180)/2)-K12)*60)</f>
        <v>37</v>
      </c>
      <c r="M12" s="11">
        <f t="shared" si="0"/>
        <v>35.00000000002945</v>
      </c>
      <c r="N12" s="11">
        <f t="shared" si="1"/>
        <v>68</v>
      </c>
      <c r="O12" s="11">
        <f t="shared" si="1"/>
        <v>37</v>
      </c>
      <c r="P12" s="11">
        <f t="shared" si="1"/>
        <v>30.000000000051052</v>
      </c>
    </row>
    <row r="13" spans="3:16" ht="12.75">
      <c r="C13" s="167"/>
      <c r="D13" s="167"/>
      <c r="E13" s="155"/>
      <c r="F13" s="159"/>
      <c r="G13" s="147"/>
      <c r="H13" s="155"/>
      <c r="I13" s="159"/>
      <c r="J13" s="147"/>
      <c r="K13" s="11"/>
      <c r="L13" s="11"/>
      <c r="M13" s="11"/>
      <c r="N13" s="11"/>
      <c r="O13" s="11"/>
      <c r="P13" s="11"/>
    </row>
    <row r="14" spans="3:16" ht="12.75">
      <c r="C14" s="39" t="s">
        <v>27</v>
      </c>
      <c r="D14" s="39" t="s">
        <v>28</v>
      </c>
      <c r="E14" s="154">
        <v>36</v>
      </c>
      <c r="F14" s="158">
        <v>0</v>
      </c>
      <c r="G14" s="116">
        <v>10</v>
      </c>
      <c r="H14" s="154">
        <v>216</v>
      </c>
      <c r="I14" s="158">
        <v>0</v>
      </c>
      <c r="J14" s="116">
        <v>10</v>
      </c>
      <c r="K14" s="11">
        <f t="shared" si="2"/>
        <v>36</v>
      </c>
      <c r="L14" s="11">
        <f t="shared" si="3"/>
        <v>0</v>
      </c>
      <c r="M14" s="11">
        <f t="shared" si="0"/>
        <v>10.000000000007958</v>
      </c>
      <c r="N14" s="11"/>
      <c r="O14" s="11"/>
      <c r="P14" s="11"/>
    </row>
    <row r="15" spans="3:16" ht="12.75">
      <c r="C15" s="167" t="s">
        <v>111</v>
      </c>
      <c r="D15" s="167" t="s">
        <v>29</v>
      </c>
      <c r="E15" s="156">
        <v>57</v>
      </c>
      <c r="F15" s="160">
        <v>16</v>
      </c>
      <c r="G15" s="147">
        <v>20</v>
      </c>
      <c r="H15" s="156">
        <v>237</v>
      </c>
      <c r="I15" s="160">
        <v>16</v>
      </c>
      <c r="J15" s="147">
        <v>30</v>
      </c>
      <c r="K15" s="11">
        <f t="shared" si="2"/>
        <v>57</v>
      </c>
      <c r="L15" s="11">
        <f t="shared" si="3"/>
        <v>16</v>
      </c>
      <c r="M15" s="11">
        <f t="shared" si="0"/>
        <v>24.99999999999092</v>
      </c>
      <c r="N15" s="11">
        <f aca="true" t="shared" si="4" ref="N15:P16">K15-K$14</f>
        <v>21</v>
      </c>
      <c r="O15" s="11">
        <f t="shared" si="4"/>
        <v>16</v>
      </c>
      <c r="P15" s="11">
        <f t="shared" si="4"/>
        <v>14.999999999982961</v>
      </c>
    </row>
    <row r="16" spans="3:16" ht="12.75">
      <c r="C16" s="167"/>
      <c r="D16" s="167" t="s">
        <v>30</v>
      </c>
      <c r="E16" s="156">
        <v>104</v>
      </c>
      <c r="F16" s="160">
        <v>37</v>
      </c>
      <c r="G16" s="147">
        <v>30</v>
      </c>
      <c r="H16" s="156">
        <v>284</v>
      </c>
      <c r="I16" s="160">
        <v>37</v>
      </c>
      <c r="J16" s="147">
        <v>30</v>
      </c>
      <c r="K16" s="11">
        <f t="shared" si="2"/>
        <v>104</v>
      </c>
      <c r="L16" s="11">
        <f t="shared" si="3"/>
        <v>37</v>
      </c>
      <c r="M16" s="11">
        <f t="shared" si="0"/>
        <v>29.999999999999893</v>
      </c>
      <c r="N16" s="11">
        <f t="shared" si="4"/>
        <v>68</v>
      </c>
      <c r="O16" s="11">
        <f t="shared" si="4"/>
        <v>37</v>
      </c>
      <c r="P16" s="11">
        <f t="shared" si="4"/>
        <v>19.999999999991935</v>
      </c>
    </row>
    <row r="17" spans="3:16" ht="12.75">
      <c r="C17" s="38"/>
      <c r="D17" s="38"/>
      <c r="E17" s="157"/>
      <c r="F17" s="161"/>
      <c r="G17" s="149"/>
      <c r="H17" s="157"/>
      <c r="I17" s="161"/>
      <c r="J17" s="149"/>
      <c r="K17" s="11"/>
      <c r="L17" s="11"/>
      <c r="M17" s="11"/>
      <c r="N17" s="11"/>
      <c r="O17" s="11"/>
      <c r="P17" s="11"/>
    </row>
    <row r="18" spans="3:16" ht="12.75">
      <c r="C18" s="167" t="s">
        <v>27</v>
      </c>
      <c r="D18" s="167" t="s">
        <v>28</v>
      </c>
      <c r="E18" s="156">
        <v>72</v>
      </c>
      <c r="F18" s="160">
        <v>0</v>
      </c>
      <c r="G18" s="147">
        <v>0</v>
      </c>
      <c r="H18" s="156">
        <v>252</v>
      </c>
      <c r="I18" s="160">
        <v>0</v>
      </c>
      <c r="J18" s="147">
        <v>0</v>
      </c>
      <c r="K18" s="11">
        <f t="shared" si="2"/>
        <v>72</v>
      </c>
      <c r="L18" s="11">
        <f t="shared" si="3"/>
        <v>0</v>
      </c>
      <c r="M18" s="11">
        <f t="shared" si="0"/>
        <v>0</v>
      </c>
      <c r="N18" s="11"/>
      <c r="O18" s="11"/>
      <c r="P18" s="11"/>
    </row>
    <row r="19" spans="3:16" ht="12.75">
      <c r="C19" s="167" t="s">
        <v>112</v>
      </c>
      <c r="D19" s="167" t="s">
        <v>29</v>
      </c>
      <c r="E19" s="156">
        <v>93</v>
      </c>
      <c r="F19" s="160">
        <v>16</v>
      </c>
      <c r="G19" s="147">
        <v>20</v>
      </c>
      <c r="H19" s="156">
        <v>273</v>
      </c>
      <c r="I19" s="160">
        <v>16</v>
      </c>
      <c r="J19" s="147">
        <v>20</v>
      </c>
      <c r="K19" s="11">
        <f t="shared" si="2"/>
        <v>93</v>
      </c>
      <c r="L19" s="11">
        <f t="shared" si="3"/>
        <v>16</v>
      </c>
      <c r="M19" s="11">
        <f t="shared" si="0"/>
        <v>19.99999999996136</v>
      </c>
      <c r="N19" s="11">
        <f aca="true" t="shared" si="5" ref="N19:P20">K19-K$18</f>
        <v>21</v>
      </c>
      <c r="O19" s="11">
        <f t="shared" si="5"/>
        <v>16</v>
      </c>
      <c r="P19" s="11">
        <f t="shared" si="5"/>
        <v>19.99999999996136</v>
      </c>
    </row>
    <row r="20" spans="3:16" ht="12.75">
      <c r="C20" s="167"/>
      <c r="D20" s="167" t="s">
        <v>30</v>
      </c>
      <c r="E20" s="156">
        <v>140</v>
      </c>
      <c r="F20" s="160">
        <v>37</v>
      </c>
      <c r="G20" s="147">
        <v>30</v>
      </c>
      <c r="H20" s="156">
        <v>320</v>
      </c>
      <c r="I20" s="160">
        <v>37</v>
      </c>
      <c r="J20" s="147">
        <v>40</v>
      </c>
      <c r="K20" s="11">
        <f t="shared" si="2"/>
        <v>140</v>
      </c>
      <c r="L20" s="11">
        <f t="shared" si="3"/>
        <v>37</v>
      </c>
      <c r="M20" s="11">
        <f t="shared" si="0"/>
        <v>35.00000000002945</v>
      </c>
      <c r="N20" s="11">
        <f t="shared" si="5"/>
        <v>68</v>
      </c>
      <c r="O20" s="11">
        <f t="shared" si="5"/>
        <v>37</v>
      </c>
      <c r="P20" s="11">
        <f t="shared" si="5"/>
        <v>35.00000000002945</v>
      </c>
    </row>
    <row r="21" spans="2:18" s="15" customFormat="1" ht="12.75">
      <c r="B21" s="123"/>
      <c r="C21" s="38"/>
      <c r="D21" s="38"/>
      <c r="E21" s="157"/>
      <c r="F21" s="161"/>
      <c r="G21" s="149"/>
      <c r="H21" s="157"/>
      <c r="I21" s="161"/>
      <c r="J21" s="149"/>
      <c r="K21" s="11"/>
      <c r="L21" s="11"/>
      <c r="M21" s="11"/>
      <c r="N21" s="11"/>
      <c r="O21" s="11"/>
      <c r="P21" s="11"/>
      <c r="Q21" s="137"/>
      <c r="R21"/>
    </row>
    <row r="22" spans="2:8" ht="12.75">
      <c r="B22" s="179"/>
      <c r="C22" s="180" t="s">
        <v>119</v>
      </c>
      <c r="D22" s="162"/>
      <c r="E22" s="152">
        <f>(N11+N15+N19)/3</f>
        <v>21</v>
      </c>
      <c r="F22" s="152">
        <f>(O11+O15+O19)/3</f>
        <v>16</v>
      </c>
      <c r="G22" s="150">
        <f>(P11+P15+P19)/3</f>
        <v>14.999999999982961</v>
      </c>
      <c r="H22" s="116"/>
    </row>
    <row r="23" spans="2:8" ht="12.75">
      <c r="B23" s="164"/>
      <c r="C23" s="165" t="s">
        <v>120</v>
      </c>
      <c r="D23" s="148"/>
      <c r="E23" s="83">
        <f>(N12+N16+N20)/3</f>
        <v>68</v>
      </c>
      <c r="F23" s="83">
        <f>(O12+O16+O20)/3</f>
        <v>37</v>
      </c>
      <c r="G23" s="150">
        <f>INT((P12+P16+P20)/3)</f>
        <v>28</v>
      </c>
      <c r="H23" s="149"/>
    </row>
    <row r="24" ht="12.75">
      <c r="C24" s="4"/>
    </row>
    <row r="25" ht="12.75">
      <c r="C25" s="4"/>
    </row>
    <row r="26" spans="2:18" s="4" customFormat="1" ht="12.75">
      <c r="B26" s="16" t="s">
        <v>123</v>
      </c>
      <c r="C26" s="40" t="s">
        <v>121</v>
      </c>
      <c r="E26"/>
      <c r="F26"/>
      <c r="G26"/>
      <c r="H26"/>
      <c r="I26"/>
      <c r="J26"/>
      <c r="K26"/>
      <c r="L26"/>
      <c r="M26"/>
      <c r="N26"/>
      <c r="O26"/>
      <c r="P26"/>
      <c r="Q26" s="137"/>
      <c r="R26"/>
    </row>
    <row r="27" spans="2:18" s="4" customFormat="1" ht="12.75">
      <c r="B27" s="16"/>
      <c r="E27" s="16"/>
      <c r="F27"/>
      <c r="G27"/>
      <c r="H27"/>
      <c r="I27"/>
      <c r="J27"/>
      <c r="K27"/>
      <c r="L27"/>
      <c r="M27"/>
      <c r="N27"/>
      <c r="O27"/>
      <c r="P27"/>
      <c r="Q27" s="137"/>
      <c r="R27"/>
    </row>
    <row r="28" spans="2:18" s="4" customFormat="1" ht="12.75">
      <c r="B28" s="16"/>
      <c r="E28" s="39" t="s">
        <v>124</v>
      </c>
      <c r="F28" s="174" t="s">
        <v>125</v>
      </c>
      <c r="G28" s="168" t="s">
        <v>127</v>
      </c>
      <c r="H28" s="177"/>
      <c r="I28" s="174" t="s">
        <v>48</v>
      </c>
      <c r="J28" s="174" t="s">
        <v>131</v>
      </c>
      <c r="K28" s="174" t="s">
        <v>132</v>
      </c>
      <c r="L28"/>
      <c r="M28"/>
      <c r="N28"/>
      <c r="O28"/>
      <c r="P28"/>
      <c r="Q28" s="137"/>
      <c r="R28"/>
    </row>
    <row r="29" spans="2:18" s="4" customFormat="1" ht="15.75">
      <c r="B29" s="16"/>
      <c r="C29"/>
      <c r="E29" s="167"/>
      <c r="F29" s="35" t="s">
        <v>126</v>
      </c>
      <c r="G29" s="35" t="s">
        <v>128</v>
      </c>
      <c r="H29" s="35" t="s">
        <v>129</v>
      </c>
      <c r="I29" s="176" t="s">
        <v>139</v>
      </c>
      <c r="J29" s="175" t="s">
        <v>140</v>
      </c>
      <c r="K29" s="35" t="s">
        <v>133</v>
      </c>
      <c r="L29"/>
      <c r="M29"/>
      <c r="N29"/>
      <c r="O29"/>
      <c r="P29"/>
      <c r="Q29" s="137"/>
      <c r="R29"/>
    </row>
    <row r="30" spans="2:17" s="4" customFormat="1" ht="12.75">
      <c r="B30" s="16"/>
      <c r="E30" s="38"/>
      <c r="F30" s="123" t="s">
        <v>44</v>
      </c>
      <c r="G30" s="123" t="s">
        <v>130</v>
      </c>
      <c r="H30" s="123" t="s">
        <v>130</v>
      </c>
      <c r="I30" s="123" t="s">
        <v>130</v>
      </c>
      <c r="J30" s="123" t="s">
        <v>130</v>
      </c>
      <c r="K30" s="123" t="s">
        <v>44</v>
      </c>
      <c r="Q30" s="163"/>
    </row>
    <row r="31" spans="5:11" ht="12.75">
      <c r="E31" s="18"/>
      <c r="F31" s="11"/>
      <c r="G31" s="11"/>
      <c r="H31" s="11"/>
      <c r="I31" s="11"/>
      <c r="J31" s="11"/>
      <c r="K31" s="11"/>
    </row>
    <row r="32" spans="5:11" ht="12.75">
      <c r="E32" s="18" t="s">
        <v>27</v>
      </c>
      <c r="F32" s="11"/>
      <c r="G32" s="11">
        <v>2053</v>
      </c>
      <c r="H32" s="11"/>
      <c r="I32" s="11"/>
      <c r="J32" s="133"/>
      <c r="K32" s="34">
        <f>H46</f>
        <v>34</v>
      </c>
    </row>
    <row r="33" spans="5:11" ht="12.75">
      <c r="E33" s="11"/>
      <c r="F33" s="11">
        <v>120.7</v>
      </c>
      <c r="G33" s="11"/>
      <c r="H33" s="11"/>
      <c r="I33" s="11">
        <f>G32-H34</f>
        <v>1110</v>
      </c>
      <c r="J33" s="133">
        <f>-J$44*F33/F$43</f>
        <v>-3.0618975139519375</v>
      </c>
      <c r="K33" s="34"/>
    </row>
    <row r="34" spans="2:18" s="15" customFormat="1" ht="12.75">
      <c r="B34" s="16"/>
      <c r="C34"/>
      <c r="D34" s="4"/>
      <c r="E34" s="18">
        <v>1</v>
      </c>
      <c r="F34" s="11"/>
      <c r="G34" s="11">
        <v>1327</v>
      </c>
      <c r="H34" s="11">
        <v>943</v>
      </c>
      <c r="I34" s="11"/>
      <c r="J34" s="133"/>
      <c r="K34" s="34">
        <f>K32+I33/1000+J33/1000</f>
        <v>35.10693810248605</v>
      </c>
      <c r="L34"/>
      <c r="M34"/>
      <c r="N34"/>
      <c r="O34"/>
      <c r="P34"/>
      <c r="Q34" s="137"/>
      <c r="R34"/>
    </row>
    <row r="35" spans="5:11" ht="12.75">
      <c r="E35" s="11"/>
      <c r="F35" s="11">
        <v>127.5</v>
      </c>
      <c r="G35" s="11"/>
      <c r="H35" s="11"/>
      <c r="I35" s="11">
        <f aca="true" t="shared" si="6" ref="I35:I41">G34-H36</f>
        <v>-516</v>
      </c>
      <c r="J35" s="133">
        <f>-J$44*F35/F$43</f>
        <v>-3.234398782343596</v>
      </c>
      <c r="K35" s="34"/>
    </row>
    <row r="36" spans="5:11" ht="12.75">
      <c r="E36" s="18">
        <v>2</v>
      </c>
      <c r="F36" s="11"/>
      <c r="G36" s="11">
        <v>2247</v>
      </c>
      <c r="H36" s="11">
        <v>1843</v>
      </c>
      <c r="I36" s="11"/>
      <c r="J36" s="133"/>
      <c r="K36" s="34">
        <f aca="true" t="shared" si="7" ref="K36:K42">K34+I35/1000+J35/1000</f>
        <v>34.5877037037037</v>
      </c>
    </row>
    <row r="37" spans="5:11" ht="12.75">
      <c r="E37" s="11"/>
      <c r="F37" s="11">
        <v>114.6</v>
      </c>
      <c r="G37" s="11"/>
      <c r="H37" s="11"/>
      <c r="I37" s="11">
        <f t="shared" si="6"/>
        <v>-71</v>
      </c>
      <c r="J37" s="133">
        <f>-J$44*F37/F$43</f>
        <v>-2.907153729071185</v>
      </c>
      <c r="K37" s="34"/>
    </row>
    <row r="38" spans="5:11" ht="12.75">
      <c r="E38" s="18">
        <v>3</v>
      </c>
      <c r="F38" s="11"/>
      <c r="G38" s="11">
        <v>2841</v>
      </c>
      <c r="H38" s="11">
        <v>2318</v>
      </c>
      <c r="I38" s="11"/>
      <c r="J38" s="133"/>
      <c r="K38" s="34">
        <f t="shared" si="7"/>
        <v>34.513796549974636</v>
      </c>
    </row>
    <row r="39" spans="5:11" ht="12.75">
      <c r="E39" s="11"/>
      <c r="F39" s="11">
        <v>98.7</v>
      </c>
      <c r="G39" s="11"/>
      <c r="H39" s="11"/>
      <c r="I39" s="11">
        <f t="shared" si="6"/>
        <v>1969</v>
      </c>
      <c r="J39" s="133">
        <f>-J$44*F39/F$43</f>
        <v>-2.5038051750377486</v>
      </c>
      <c r="K39" s="34"/>
    </row>
    <row r="40" spans="5:11" ht="12.75">
      <c r="E40" s="18">
        <v>4</v>
      </c>
      <c r="F40" s="11"/>
      <c r="G40" s="11">
        <v>1963</v>
      </c>
      <c r="H40" s="11">
        <v>872</v>
      </c>
      <c r="I40" s="11"/>
      <c r="J40" s="133"/>
      <c r="K40" s="34">
        <f t="shared" si="7"/>
        <v>36.4802927447996</v>
      </c>
    </row>
    <row r="41" spans="5:11" ht="12.75">
      <c r="E41" s="11"/>
      <c r="F41" s="11">
        <v>129.8</v>
      </c>
      <c r="G41" s="11"/>
      <c r="H41" s="11"/>
      <c r="I41" s="11">
        <f t="shared" si="6"/>
        <v>949</v>
      </c>
      <c r="J41" s="133">
        <f>-J$44*F41/F$43</f>
        <v>-3.2927447995937156</v>
      </c>
      <c r="K41" s="34"/>
    </row>
    <row r="42" spans="5:11" ht="12.75">
      <c r="E42" s="18" t="s">
        <v>28</v>
      </c>
      <c r="F42" s="11"/>
      <c r="G42" s="11"/>
      <c r="H42" s="11">
        <v>1014</v>
      </c>
      <c r="I42" s="11"/>
      <c r="J42" s="11"/>
      <c r="K42" s="34">
        <f t="shared" si="7"/>
        <v>37.426</v>
      </c>
    </row>
    <row r="43" spans="5:11" ht="12.75">
      <c r="E43" s="11" t="s">
        <v>35</v>
      </c>
      <c r="F43" s="11">
        <f>SUM(F33:F41)</f>
        <v>591.3</v>
      </c>
      <c r="G43" s="11">
        <f>SUM(G32:G41)</f>
        <v>10431</v>
      </c>
      <c r="H43" s="11">
        <f>SUM(H33:H42)</f>
        <v>6990</v>
      </c>
      <c r="I43" s="11">
        <f>SUM(I33:I42)</f>
        <v>3441</v>
      </c>
      <c r="J43" s="11">
        <f>SUM(J32:J42)</f>
        <v>-14.999999999998185</v>
      </c>
      <c r="K43" s="178" t="s">
        <v>134</v>
      </c>
    </row>
    <row r="44" spans="8:12" ht="12.75">
      <c r="H44" s="116"/>
      <c r="I44" s="162" t="s">
        <v>138</v>
      </c>
      <c r="J44" s="150">
        <f>-K44+I43</f>
        <v>14.999999999998181</v>
      </c>
      <c r="K44" s="153">
        <f>(H47-H46)*1000</f>
        <v>3426.000000000002</v>
      </c>
      <c r="L44" t="s">
        <v>21</v>
      </c>
    </row>
    <row r="45" ht="12.75"/>
    <row r="46" spans="3:9" ht="12.75">
      <c r="C46" s="15" t="s">
        <v>135</v>
      </c>
      <c r="D46" s="40" t="s">
        <v>136</v>
      </c>
      <c r="E46" s="15"/>
      <c r="F46" s="15"/>
      <c r="G46" s="15"/>
      <c r="H46" s="15">
        <f>10+$G$2</f>
        <v>34</v>
      </c>
      <c r="I46" s="15" t="s">
        <v>61</v>
      </c>
    </row>
    <row r="47" spans="3:9" ht="12.75">
      <c r="C47" s="15"/>
      <c r="D47" s="40" t="s">
        <v>137</v>
      </c>
      <c r="E47" s="15"/>
      <c r="F47" s="15"/>
      <c r="G47" s="15"/>
      <c r="H47" s="15">
        <f>13.426+$G$2</f>
        <v>37.426</v>
      </c>
      <c r="I47" s="15" t="s">
        <v>61</v>
      </c>
    </row>
    <row r="48" ht="12.75"/>
    <row r="49" ht="12.75"/>
    <row r="50" ht="12.75"/>
    <row r="51" ht="12.75"/>
    <row r="52" ht="12.75"/>
    <row r="53" spans="6:9" ht="14.25">
      <c r="F53" s="19"/>
      <c r="I53" s="4"/>
    </row>
    <row r="54" spans="2:18" ht="15">
      <c r="B54" s="16">
        <v>3.1</v>
      </c>
      <c r="C54" s="15" t="s">
        <v>82</v>
      </c>
      <c r="D54" s="16"/>
      <c r="E54" s="15"/>
      <c r="F54" s="21"/>
      <c r="J54" s="15"/>
      <c r="K54" s="15"/>
      <c r="L54" s="15"/>
      <c r="M54" s="15"/>
      <c r="N54" s="15"/>
      <c r="O54" s="192">
        <v>5</v>
      </c>
      <c r="P54" s="192">
        <v>26</v>
      </c>
      <c r="Q54" s="192">
        <v>30</v>
      </c>
      <c r="R54" s="15"/>
    </row>
    <row r="55" ht="12.75">
      <c r="G55" s="1">
        <v>292630</v>
      </c>
    </row>
    <row r="56" spans="3:10" ht="15">
      <c r="C56" t="s">
        <v>24</v>
      </c>
      <c r="F56" s="22" t="s">
        <v>34</v>
      </c>
      <c r="G56" s="187">
        <f>IF(G55&gt;1000000,VALUE(CONCATENATE(LEFT(G55,3),":",MID(G55,4,2),":",RIGHT(G55,2))),IF(G55&gt;100000,VALUE(CONCATENATE(LEFT(G55,2),":",MID(G55,3,2),":",RIGHT(G55,2))),VALUE(CONCATENATE(LEFT(G55,1),":",MID(G55,2,2),":",RIGHT(G55,2)))))</f>
        <v>1.226736111111111</v>
      </c>
      <c r="H56" s="186" t="s">
        <v>141</v>
      </c>
      <c r="I56" s="131">
        <f>IF(O54+P54/60+Q54/3600+$G$2&lt;360,O54+P54/60+Q54/3600+$G$2,O54+P54/60+Q54/3600+$G$2-360)</f>
        <v>29.441666666666666</v>
      </c>
      <c r="J56" s="130" t="s">
        <v>84</v>
      </c>
    </row>
    <row r="57" ht="15">
      <c r="F57" s="22"/>
    </row>
    <row r="58" spans="3:17" ht="14.25">
      <c r="C58" s="18" t="s">
        <v>25</v>
      </c>
      <c r="D58" s="188" t="s">
        <v>142</v>
      </c>
      <c r="E58" s="189"/>
      <c r="F58" s="190"/>
      <c r="G58" s="127" t="s">
        <v>85</v>
      </c>
      <c r="H58" s="67" t="s">
        <v>38</v>
      </c>
      <c r="I58" s="39" t="s">
        <v>144</v>
      </c>
      <c r="J58" s="173" t="s">
        <v>39</v>
      </c>
      <c r="K58" s="127" t="s">
        <v>40</v>
      </c>
      <c r="L58" s="39" t="s">
        <v>145</v>
      </c>
      <c r="M58" s="173" t="s">
        <v>41</v>
      </c>
      <c r="N58" s="127" t="s">
        <v>42</v>
      </c>
      <c r="O58" s="188" t="s">
        <v>143</v>
      </c>
      <c r="P58" s="189"/>
      <c r="Q58" s="190"/>
    </row>
    <row r="59" spans="3:18" ht="14.25">
      <c r="C59" s="18" t="s">
        <v>26</v>
      </c>
      <c r="D59" s="66" t="s">
        <v>31</v>
      </c>
      <c r="E59" s="66" t="s">
        <v>32</v>
      </c>
      <c r="F59" s="68" t="s">
        <v>33</v>
      </c>
      <c r="G59" s="126" t="s">
        <v>68</v>
      </c>
      <c r="H59" s="66" t="s">
        <v>21</v>
      </c>
      <c r="I59" s="126" t="s">
        <v>21</v>
      </c>
      <c r="J59" s="126" t="s">
        <v>21</v>
      </c>
      <c r="K59" s="126" t="s">
        <v>61</v>
      </c>
      <c r="L59" s="126" t="s">
        <v>21</v>
      </c>
      <c r="M59" s="126" t="s">
        <v>21</v>
      </c>
      <c r="N59" s="128" t="s">
        <v>61</v>
      </c>
      <c r="O59" s="66" t="s">
        <v>31</v>
      </c>
      <c r="P59" s="66" t="s">
        <v>32</v>
      </c>
      <c r="Q59" s="68" t="s">
        <v>33</v>
      </c>
      <c r="R59" s="4"/>
    </row>
    <row r="60" spans="3:17" ht="15">
      <c r="C60" s="18"/>
      <c r="D60" s="10"/>
      <c r="E60" s="11"/>
      <c r="F60" s="23"/>
      <c r="G60" s="11"/>
      <c r="H60" s="11"/>
      <c r="I60" s="26"/>
      <c r="J60" s="11"/>
      <c r="K60" s="11"/>
      <c r="L60" s="26"/>
      <c r="M60" s="11"/>
      <c r="N60" s="27"/>
      <c r="O60" s="133"/>
      <c r="P60" s="11"/>
      <c r="Q60" s="138"/>
    </row>
    <row r="61" spans="3:17" ht="15">
      <c r="C61" s="18" t="s">
        <v>27</v>
      </c>
      <c r="D61" s="3">
        <v>105</v>
      </c>
      <c r="E61" s="1">
        <v>49</v>
      </c>
      <c r="F61" s="31">
        <v>54</v>
      </c>
      <c r="G61" s="25"/>
      <c r="H61" s="11"/>
      <c r="I61" s="26"/>
      <c r="J61" s="26"/>
      <c r="K61" s="191">
        <v>2100</v>
      </c>
      <c r="L61" s="26"/>
      <c r="M61" s="26"/>
      <c r="N61" s="191">
        <v>3100</v>
      </c>
      <c r="O61" s="133"/>
      <c r="P61" s="11"/>
      <c r="Q61" s="138"/>
    </row>
    <row r="62" spans="3:17" ht="15">
      <c r="C62" s="18"/>
      <c r="D62" s="10"/>
      <c r="E62" s="11"/>
      <c r="F62" s="23"/>
      <c r="G62" s="132">
        <f>I56</f>
        <v>29.441666666666666</v>
      </c>
      <c r="H62" s="1">
        <v>149542</v>
      </c>
      <c r="I62" s="26">
        <f>H62*COS(G62*PI()/180)</f>
        <v>130229.63550843709</v>
      </c>
      <c r="J62" s="26">
        <f>-$I$71/$H$71*H62</f>
        <v>8.712592277510211</v>
      </c>
      <c r="K62" s="27"/>
      <c r="L62" s="26">
        <f>H62*SIN(G62*PI()/180)</f>
        <v>73505.45421490585</v>
      </c>
      <c r="M62" s="26">
        <f>-$L$71*H62/$H$71</f>
        <v>42.71373861717928</v>
      </c>
      <c r="N62" s="27"/>
      <c r="O62" s="133">
        <f>INT(G62)</f>
        <v>29</v>
      </c>
      <c r="P62" s="11">
        <f>INT((G62-O62)*60)</f>
        <v>26</v>
      </c>
      <c r="Q62" s="138">
        <f>(G62-O62-P62/60)*3600</f>
        <v>29.999999999999094</v>
      </c>
    </row>
    <row r="63" spans="3:17" ht="15">
      <c r="C63" s="18" t="s">
        <v>28</v>
      </c>
      <c r="D63" s="3">
        <v>74</v>
      </c>
      <c r="E63" s="1">
        <v>20</v>
      </c>
      <c r="F63" s="31">
        <v>18</v>
      </c>
      <c r="G63" s="132"/>
      <c r="H63" s="11"/>
      <c r="I63" s="26"/>
      <c r="J63" s="26"/>
      <c r="K63" s="27">
        <f>K61+I62/1000+J62/1000</f>
        <v>2230.2383481007146</v>
      </c>
      <c r="L63" s="26"/>
      <c r="M63" s="26"/>
      <c r="N63" s="27">
        <f>N61+L62/1000+M62/1000</f>
        <v>3173.5481679535233</v>
      </c>
      <c r="O63" s="133"/>
      <c r="P63" s="11"/>
      <c r="Q63" s="138"/>
    </row>
    <row r="64" spans="3:17" ht="15">
      <c r="C64" s="18"/>
      <c r="D64" s="10"/>
      <c r="E64" s="11"/>
      <c r="F64" s="23"/>
      <c r="G64" s="132">
        <f>IF(G62+(D63+E63/60+(F63+$D$73)/3600)-180+360&lt;360,G62+(D63+E63/60+(F63+$D$73)/3600)-180+360,G62+(D63+E63/60+(F63+$D$73)/3600)-180)</f>
        <v>283.7733333333333</v>
      </c>
      <c r="H64" s="1">
        <v>163533</v>
      </c>
      <c r="I64" s="26">
        <f>H64*COS(G64*PI()/180)</f>
        <v>38934.173001117684</v>
      </c>
      <c r="J64" s="26">
        <f>-$I$71/$H$71*H64</f>
        <v>9.52773369968355</v>
      </c>
      <c r="K64" s="27"/>
      <c r="L64" s="26">
        <f>H64*SIN(G64*PI()/180)</f>
        <v>-158830.64018544735</v>
      </c>
      <c r="M64" s="26">
        <f>-$L$71*H64/$H$71</f>
        <v>46.70999329474783</v>
      </c>
      <c r="N64" s="27"/>
      <c r="O64" s="133">
        <f aca="true" t="shared" si="8" ref="O64:O70">INT(G64)</f>
        <v>283</v>
      </c>
      <c r="P64" s="11">
        <f aca="true" t="shared" si="9" ref="P64:P70">INT((G64-O64)*60)</f>
        <v>46</v>
      </c>
      <c r="Q64" s="138">
        <f aca="true" t="shared" si="10" ref="Q64:Q70">(G64-O64-P64/60)*3600</f>
        <v>23.999999999923418</v>
      </c>
    </row>
    <row r="65" spans="3:17" ht="15">
      <c r="C65" s="18" t="s">
        <v>29</v>
      </c>
      <c r="D65" s="3">
        <v>98</v>
      </c>
      <c r="E65" s="1">
        <v>43</v>
      </c>
      <c r="F65" s="31">
        <v>48</v>
      </c>
      <c r="G65" s="132"/>
      <c r="H65" s="11"/>
      <c r="I65" s="26"/>
      <c r="J65" s="26"/>
      <c r="K65" s="27">
        <f>K63+I64/1000+J64/1000</f>
        <v>2269.182048835532</v>
      </c>
      <c r="L65" s="26"/>
      <c r="M65" s="26"/>
      <c r="N65" s="27">
        <f>N63+L64/1000+M64/1000</f>
        <v>3014.7642377613706</v>
      </c>
      <c r="O65" s="133"/>
      <c r="P65" s="11"/>
      <c r="Q65" s="138"/>
    </row>
    <row r="66" spans="3:17" ht="15">
      <c r="C66" s="18"/>
      <c r="D66" s="10"/>
      <c r="E66" s="11"/>
      <c r="F66" s="23"/>
      <c r="G66" s="132">
        <f>IF(G64+(D65+E65/60+(F65+$D$73)/3600)-180+360&lt;360,G64+(D65+E65/60+(F65+$D$73)/3600)-180+360,G64+(D65+E65/60+(F65+$D$73)/3600)-180)</f>
        <v>202.49666666666667</v>
      </c>
      <c r="H66" s="1">
        <v>146148</v>
      </c>
      <c r="I66" s="26">
        <f>H66*COS(G66*PI()/180)</f>
        <v>-135026.39947243646</v>
      </c>
      <c r="J66" s="26">
        <f>-$I$71/$H$71*H66</f>
        <v>8.514851588005794</v>
      </c>
      <c r="K66" s="27"/>
      <c r="L66" s="26">
        <f>H66*SIN(G66*PI()/180)</f>
        <v>-55920.56285043998</v>
      </c>
      <c r="M66" s="26">
        <f>-$L$71*H66/$H$71</f>
        <v>41.744309099941944</v>
      </c>
      <c r="N66" s="27"/>
      <c r="O66" s="133">
        <f t="shared" si="8"/>
        <v>202</v>
      </c>
      <c r="P66" s="11">
        <f t="shared" si="9"/>
        <v>29</v>
      </c>
      <c r="Q66" s="138">
        <f t="shared" si="10"/>
        <v>48.0000000000109</v>
      </c>
    </row>
    <row r="67" spans="3:17" ht="15">
      <c r="C67" s="18" t="s">
        <v>30</v>
      </c>
      <c r="D67" s="3">
        <v>81</v>
      </c>
      <c r="E67" s="1">
        <v>7</v>
      </c>
      <c r="F67" s="31">
        <v>36</v>
      </c>
      <c r="G67" s="132"/>
      <c r="H67" s="11"/>
      <c r="I67" s="26"/>
      <c r="J67" s="26"/>
      <c r="K67" s="27">
        <f>K65+I66/1000+J66/1000</f>
        <v>2134.1641642146838</v>
      </c>
      <c r="L67" s="26"/>
      <c r="M67" s="26"/>
      <c r="N67" s="27">
        <f>N65+L66/1000+M66/1000</f>
        <v>2958.8854192200306</v>
      </c>
      <c r="O67" s="133"/>
      <c r="P67" s="11"/>
      <c r="Q67" s="138"/>
    </row>
    <row r="68" spans="3:17" ht="15">
      <c r="C68" s="18"/>
      <c r="D68" s="10"/>
      <c r="E68" s="11"/>
      <c r="F68" s="23"/>
      <c r="G68" s="132">
        <f>IF(G66+(D67+E67/60+(F67+$D$73)/3600)-180+360&lt;360,G66+(D67+E67/60+(F67+$D$73)/3600)-180+360,G66+(D67+E67/60+(F67+$D$73)/3600)-180)</f>
        <v>103.61666666666667</v>
      </c>
      <c r="H68" s="1">
        <v>145153</v>
      </c>
      <c r="I68" s="26">
        <f>H68*COS(G68*PI()/180)</f>
        <v>-34172.621095739385</v>
      </c>
      <c r="J68" s="26">
        <f>-$I$71/$H$71*H68</f>
        <v>8.45688105587353</v>
      </c>
      <c r="K68" s="27"/>
      <c r="L68" s="26">
        <f>H68*SIN(G68*PI()/180)</f>
        <v>141073.12067309997</v>
      </c>
      <c r="M68" s="26">
        <f>-$L$71*H68/$H$71</f>
        <v>41.460106869638125</v>
      </c>
      <c r="N68" s="27"/>
      <c r="O68" s="133">
        <f t="shared" si="8"/>
        <v>103</v>
      </c>
      <c r="P68" s="11">
        <f t="shared" si="9"/>
        <v>37</v>
      </c>
      <c r="Q68" s="138">
        <f t="shared" si="10"/>
        <v>2.7178259642823832E-11</v>
      </c>
    </row>
    <row r="69" spans="3:17" ht="15">
      <c r="C69" s="18" t="s">
        <v>27</v>
      </c>
      <c r="D69" s="3">
        <v>105</v>
      </c>
      <c r="E69" s="1">
        <v>49</v>
      </c>
      <c r="F69" s="31">
        <v>54</v>
      </c>
      <c r="G69" s="132"/>
      <c r="H69" s="11"/>
      <c r="I69" s="26"/>
      <c r="J69" s="11"/>
      <c r="K69" s="27">
        <f>K67+I68/1000+J68/1000</f>
        <v>2100</v>
      </c>
      <c r="L69" s="26"/>
      <c r="M69" s="26"/>
      <c r="N69" s="27">
        <f>N67+L68/1000+M68/1000</f>
        <v>3100</v>
      </c>
      <c r="O69" s="133"/>
      <c r="P69" s="11"/>
      <c r="Q69" s="138"/>
    </row>
    <row r="70" spans="3:17" ht="14.25">
      <c r="C70" s="18"/>
      <c r="D70" s="10"/>
      <c r="E70" s="11"/>
      <c r="F70" s="24"/>
      <c r="G70" s="132">
        <f>IF(G68+(D69+E69/60+(F69+$D$73)/3600)-180+360&lt;360,G68+(D69+E69/60+(F69+$D$73)/3600)-180+360,G68+(D69+E69/60+(F69+$D$73)/3600)-180)</f>
        <v>29.441666666666663</v>
      </c>
      <c r="H70" s="11"/>
      <c r="I70" s="26"/>
      <c r="J70" s="11"/>
      <c r="K70" s="27"/>
      <c r="L70" s="26"/>
      <c r="M70" s="26"/>
      <c r="N70" s="27"/>
      <c r="O70" s="133">
        <f t="shared" si="8"/>
        <v>29</v>
      </c>
      <c r="P70" s="11">
        <f t="shared" si="9"/>
        <v>26</v>
      </c>
      <c r="Q70" s="138">
        <f t="shared" si="10"/>
        <v>29.999999999986304</v>
      </c>
    </row>
    <row r="71" spans="3:18" ht="12.75">
      <c r="C71" s="18" t="s">
        <v>35</v>
      </c>
      <c r="D71" s="18">
        <f>SUM(D61:D67)+SUM(E61:E67)/60+SUM(F61:F67)/3600</f>
        <v>360.0266666666667</v>
      </c>
      <c r="E71" s="18"/>
      <c r="F71" s="18"/>
      <c r="G71" s="17"/>
      <c r="H71" s="17">
        <f>SUM(H62:H68)</f>
        <v>604376</v>
      </c>
      <c r="I71" s="28">
        <f>SUM(I62:I68)</f>
        <v>-35.21205862107308</v>
      </c>
      <c r="J71" s="28">
        <f>SUM(J62:J68)</f>
        <v>35.21205862107308</v>
      </c>
      <c r="K71" s="30"/>
      <c r="L71" s="28">
        <f>SUM(L62:L68)</f>
        <v>-172.62814788150718</v>
      </c>
      <c r="M71" s="28">
        <f>SUM(M62:M68)</f>
        <v>172.62814788150718</v>
      </c>
      <c r="N71" s="30"/>
      <c r="O71" s="134"/>
      <c r="P71" s="17"/>
      <c r="Q71" s="138"/>
      <c r="R71" s="15"/>
    </row>
    <row r="72" spans="3:13" ht="12.75">
      <c r="C72" s="112" t="s">
        <v>36</v>
      </c>
      <c r="D72" s="117">
        <f>(D71-360)*3600</f>
        <v>96.00000000011732</v>
      </c>
      <c r="H72" s="116"/>
      <c r="I72" s="115" t="s">
        <v>43</v>
      </c>
      <c r="J72" s="111">
        <f>SUM(J62:J69)</f>
        <v>35.21205862107308</v>
      </c>
      <c r="L72" s="114" t="s">
        <v>45</v>
      </c>
      <c r="M72" s="113">
        <f>SUM(M62:M68)</f>
        <v>172.62814788150718</v>
      </c>
    </row>
    <row r="73" spans="2:4" ht="12.75">
      <c r="B73" s="35"/>
      <c r="C73" s="119" t="s">
        <v>37</v>
      </c>
      <c r="D73" s="118">
        <f>-D72/4</f>
        <v>-24.00000000002933</v>
      </c>
    </row>
    <row r="76" spans="3:18" ht="12.75">
      <c r="C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R76" s="4"/>
    </row>
    <row r="77" spans="3:18" ht="12.75">
      <c r="C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R77" s="4"/>
    </row>
    <row r="78" spans="2:18" ht="12.75">
      <c r="B78" s="16">
        <v>3.2</v>
      </c>
      <c r="C78" s="40" t="s">
        <v>46</v>
      </c>
      <c r="E78" s="4"/>
      <c r="F78" s="4"/>
      <c r="G78" s="4"/>
      <c r="H78" s="4"/>
      <c r="I78" s="4"/>
      <c r="J78" s="70">
        <v>4.1</v>
      </c>
      <c r="K78" s="40" t="s">
        <v>58</v>
      </c>
      <c r="L78" s="4"/>
      <c r="M78" s="4"/>
      <c r="N78" s="4"/>
      <c r="O78" s="4"/>
      <c r="P78" s="4"/>
      <c r="R78" s="4"/>
    </row>
    <row r="79" spans="3:18" ht="12.75">
      <c r="C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R79" s="4"/>
    </row>
    <row r="80" spans="3:18" ht="12.75">
      <c r="C80" s="4"/>
      <c r="D80" s="32" t="s">
        <v>47</v>
      </c>
      <c r="E80" s="4"/>
      <c r="F80" s="4"/>
      <c r="G80" s="4"/>
      <c r="H80" s="4">
        <f>109.75+$G$2</f>
        <v>133.75</v>
      </c>
      <c r="I80" s="4"/>
      <c r="J80" s="4"/>
      <c r="K80" s="4"/>
      <c r="L80" s="4"/>
      <c r="M80" s="4"/>
      <c r="N80" s="4"/>
      <c r="O80" s="4"/>
      <c r="P80" s="4"/>
      <c r="R80" s="4"/>
    </row>
    <row r="81" spans="11:14" ht="12.75">
      <c r="K81" s="53" t="s">
        <v>25</v>
      </c>
      <c r="L81" s="54" t="s">
        <v>18</v>
      </c>
      <c r="M81" s="54" t="s">
        <v>59</v>
      </c>
      <c r="N81" s="54" t="s">
        <v>60</v>
      </c>
    </row>
    <row r="82" spans="3:14" ht="12.75">
      <c r="C82" s="39" t="s">
        <v>25</v>
      </c>
      <c r="D82" s="39" t="s">
        <v>49</v>
      </c>
      <c r="E82" s="37" t="s">
        <v>50</v>
      </c>
      <c r="F82" s="37" t="s">
        <v>52</v>
      </c>
      <c r="G82" s="37" t="s">
        <v>53</v>
      </c>
      <c r="K82" s="55" t="s">
        <v>26</v>
      </c>
      <c r="L82" s="56" t="s">
        <v>61</v>
      </c>
      <c r="M82" s="56" t="s">
        <v>61</v>
      </c>
      <c r="N82" s="56" t="s">
        <v>61</v>
      </c>
    </row>
    <row r="83" spans="3:14" ht="12.75">
      <c r="C83" s="38" t="s">
        <v>26</v>
      </c>
      <c r="D83" s="38" t="s">
        <v>57</v>
      </c>
      <c r="E83" s="36" t="s">
        <v>56</v>
      </c>
      <c r="F83" s="36" t="s">
        <v>51</v>
      </c>
      <c r="G83" s="36"/>
      <c r="K83" s="54" t="s">
        <v>27</v>
      </c>
      <c r="L83" s="57">
        <f>$K$61</f>
        <v>2100</v>
      </c>
      <c r="M83" s="57">
        <f>N61</f>
        <v>3100</v>
      </c>
      <c r="N83" s="58">
        <f>G86</f>
        <v>133.75</v>
      </c>
    </row>
    <row r="84" spans="2:18" ht="12.75">
      <c r="B84" s="35"/>
      <c r="C84" s="17"/>
      <c r="D84" s="29" t="s">
        <v>44</v>
      </c>
      <c r="E84" s="29" t="s">
        <v>44</v>
      </c>
      <c r="F84" s="29" t="s">
        <v>44</v>
      </c>
      <c r="G84" s="29" t="s">
        <v>44</v>
      </c>
      <c r="H84" s="15"/>
      <c r="I84" s="15"/>
      <c r="J84" s="15"/>
      <c r="K84" s="54" t="s">
        <v>28</v>
      </c>
      <c r="L84" s="59">
        <f>K63</f>
        <v>2230.2383481007146</v>
      </c>
      <c r="M84" s="59">
        <f>N63</f>
        <v>3173.5481679535233</v>
      </c>
      <c r="N84" s="60">
        <f>G88</f>
        <v>137.71033776749564</v>
      </c>
      <c r="O84" s="15"/>
      <c r="P84" s="15"/>
      <c r="R84" s="15"/>
    </row>
    <row r="85" spans="3:14" ht="12.75">
      <c r="C85" s="18"/>
      <c r="D85" s="10"/>
      <c r="E85" s="11"/>
      <c r="F85" s="34"/>
      <c r="G85" s="34"/>
      <c r="K85" s="54" t="s">
        <v>29</v>
      </c>
      <c r="L85" s="57">
        <f>K65</f>
        <v>2269.182048835532</v>
      </c>
      <c r="M85" s="57">
        <f>N65</f>
        <v>3014.7642377613706</v>
      </c>
      <c r="N85" s="58">
        <f>G90</f>
        <v>139.5328716020821</v>
      </c>
    </row>
    <row r="86" spans="3:14" ht="12.75">
      <c r="C86" s="18" t="s">
        <v>27</v>
      </c>
      <c r="D86" s="10"/>
      <c r="E86" s="11"/>
      <c r="F86" s="34"/>
      <c r="G86" s="62">
        <f>H80</f>
        <v>133.75</v>
      </c>
      <c r="K86" s="54" t="s">
        <v>30</v>
      </c>
      <c r="L86" s="57">
        <f>K67</f>
        <v>2134.1641642146838</v>
      </c>
      <c r="M86" s="57">
        <f>N67</f>
        <v>2958.8854192200306</v>
      </c>
      <c r="N86" s="58">
        <f>G92</f>
        <v>134.65341006362056</v>
      </c>
    </row>
    <row r="87" spans="3:14" ht="12.75">
      <c r="C87" s="18"/>
      <c r="D87" s="10">
        <v>3.969</v>
      </c>
      <c r="E87" s="11">
        <v>149.77</v>
      </c>
      <c r="F87" s="62">
        <f>-$D$96/$E$96*E87</f>
        <v>-0.008662232504337694</v>
      </c>
      <c r="G87" s="34"/>
      <c r="K87" s="54" t="s">
        <v>27</v>
      </c>
      <c r="L87" s="57">
        <f>K61</f>
        <v>2100</v>
      </c>
      <c r="M87" s="57">
        <f>N69</f>
        <v>3100</v>
      </c>
      <c r="N87" s="58">
        <f>G94</f>
        <v>133.74999999999994</v>
      </c>
    </row>
    <row r="88" spans="3:14" ht="12.75">
      <c r="C88" s="18" t="s">
        <v>28</v>
      </c>
      <c r="D88" s="10"/>
      <c r="E88" s="11"/>
      <c r="F88" s="34"/>
      <c r="G88" s="62">
        <f>G86+D87+F87</f>
        <v>137.71033776749564</v>
      </c>
      <c r="K88" s="61"/>
      <c r="L88" s="61"/>
      <c r="M88" s="61"/>
      <c r="N88" s="61"/>
    </row>
    <row r="89" spans="3:7" ht="12.75">
      <c r="C89" s="18"/>
      <c r="D89" s="10">
        <v>1.832</v>
      </c>
      <c r="E89" s="11">
        <v>163.67</v>
      </c>
      <c r="F89" s="62">
        <f>-$D$96/$E$96*E89</f>
        <v>-0.009466165413533753</v>
      </c>
      <c r="G89" s="34"/>
    </row>
    <row r="90" spans="3:7" ht="12.75">
      <c r="C90" s="18" t="s">
        <v>29</v>
      </c>
      <c r="D90" s="10"/>
      <c r="E90" s="11"/>
      <c r="F90" s="34"/>
      <c r="G90" s="62">
        <f>G88+D89+F89</f>
        <v>139.5328716020821</v>
      </c>
    </row>
    <row r="91" spans="3:7" ht="12.75">
      <c r="C91" s="18"/>
      <c r="D91" s="10">
        <v>-4.871</v>
      </c>
      <c r="E91" s="11">
        <v>146.3</v>
      </c>
      <c r="F91" s="62">
        <f>-$D$96/$E$96*E91</f>
        <v>-0.008461538461538388</v>
      </c>
      <c r="G91" s="34"/>
    </row>
    <row r="92" spans="3:7" ht="12.75">
      <c r="C92" s="18" t="s">
        <v>30</v>
      </c>
      <c r="D92" s="10"/>
      <c r="E92" s="11"/>
      <c r="F92" s="34"/>
      <c r="G92" s="62">
        <f>G90+D91+F91</f>
        <v>134.65341006362056</v>
      </c>
    </row>
    <row r="93" spans="3:7" ht="12.75">
      <c r="C93" s="18"/>
      <c r="D93" s="10">
        <v>-0.895</v>
      </c>
      <c r="E93" s="11">
        <v>145.41</v>
      </c>
      <c r="F93" s="62">
        <f>-$D$96/$E$96*E93</f>
        <v>-0.008410063620589863</v>
      </c>
      <c r="G93" s="34"/>
    </row>
    <row r="94" spans="3:7" ht="12.75">
      <c r="C94" s="18" t="s">
        <v>27</v>
      </c>
      <c r="D94" s="10"/>
      <c r="E94" s="11"/>
      <c r="F94" s="34"/>
      <c r="G94" s="62">
        <f>G92+D93+F93</f>
        <v>133.74999999999994</v>
      </c>
    </row>
    <row r="95" spans="3:7" ht="12.75">
      <c r="C95" s="18"/>
      <c r="D95" s="10" t="s">
        <v>54</v>
      </c>
      <c r="E95" s="11" t="s">
        <v>55</v>
      </c>
      <c r="F95" s="34"/>
      <c r="G95" s="11"/>
    </row>
    <row r="96" spans="3:8" ht="13.5" thickBot="1">
      <c r="C96" s="45" t="s">
        <v>35</v>
      </c>
      <c r="D96" s="44">
        <f>SUM(D86:D94)</f>
        <v>0.0349999999999997</v>
      </c>
      <c r="E96" s="44">
        <f>SUM(E86:E94)</f>
        <v>605.15</v>
      </c>
      <c r="F96" s="44">
        <f>SUM(F86:F94)</f>
        <v>-0.0349999999999997</v>
      </c>
      <c r="G96" s="43"/>
      <c r="H96" s="42"/>
    </row>
    <row r="97" spans="2:12" ht="13.5" thickBot="1">
      <c r="B97" s="46"/>
      <c r="C97" s="47" t="s">
        <v>62</v>
      </c>
      <c r="D97" s="48">
        <f>D96*1000</f>
        <v>34.9999999999997</v>
      </c>
      <c r="E97" s="49" t="s">
        <v>63</v>
      </c>
      <c r="F97" s="48"/>
      <c r="G97" s="129">
        <f>50*(E96/1000)^0.5</f>
        <v>38.89569384906252</v>
      </c>
      <c r="H97" s="50" t="s">
        <v>21</v>
      </c>
      <c r="J97" s="71"/>
      <c r="K97" s="71"/>
      <c r="L97" s="71"/>
    </row>
    <row r="98" spans="3:12" ht="23.25">
      <c r="C98" s="4"/>
      <c r="D98"/>
      <c r="I98" s="73"/>
      <c r="J98" s="74" t="s">
        <v>74</v>
      </c>
      <c r="K98" s="75"/>
      <c r="L98" s="72"/>
    </row>
    <row r="99" spans="3:16" ht="12.75">
      <c r="C99" s="63" t="s">
        <v>2</v>
      </c>
      <c r="D99" s="64"/>
      <c r="E99" s="63" t="s">
        <v>9</v>
      </c>
      <c r="F99" s="41"/>
      <c r="G99" s="122" t="s">
        <v>8</v>
      </c>
      <c r="H99" s="121"/>
      <c r="I99" s="122" t="s">
        <v>10</v>
      </c>
      <c r="J99" s="121"/>
      <c r="K99" s="125" t="s">
        <v>20</v>
      </c>
      <c r="L99" s="37" t="s">
        <v>48</v>
      </c>
      <c r="M99" s="37" t="s">
        <v>67</v>
      </c>
      <c r="N99" s="37" t="s">
        <v>64</v>
      </c>
      <c r="O99" s="37" t="s">
        <v>65</v>
      </c>
      <c r="P99" s="37" t="s">
        <v>66</v>
      </c>
    </row>
    <row r="100" spans="3:16" ht="12.75">
      <c r="C100" s="63"/>
      <c r="D100" s="63" t="s">
        <v>3</v>
      </c>
      <c r="E100" s="63" t="s">
        <v>4</v>
      </c>
      <c r="F100" s="63" t="s">
        <v>5</v>
      </c>
      <c r="G100" s="63" t="s">
        <v>6</v>
      </c>
      <c r="H100" s="65" t="s">
        <v>7</v>
      </c>
      <c r="I100" s="63" t="s">
        <v>6</v>
      </c>
      <c r="J100" s="65" t="s">
        <v>7</v>
      </c>
      <c r="K100" s="124" t="s">
        <v>61</v>
      </c>
      <c r="L100" s="38" t="s">
        <v>61</v>
      </c>
      <c r="M100" s="38" t="s">
        <v>68</v>
      </c>
      <c r="N100" s="38" t="s">
        <v>61</v>
      </c>
      <c r="O100" s="123" t="s">
        <v>61</v>
      </c>
      <c r="P100" s="38" t="s">
        <v>61</v>
      </c>
    </row>
    <row r="101" spans="3:16" ht="12.75">
      <c r="C101" s="3" t="s">
        <v>11</v>
      </c>
      <c r="D101" s="3" t="s">
        <v>12</v>
      </c>
      <c r="E101" s="3" t="s">
        <v>12</v>
      </c>
      <c r="F101" s="3" t="s">
        <v>13</v>
      </c>
      <c r="G101" s="3" t="s">
        <v>14</v>
      </c>
      <c r="H101" s="7" t="s">
        <v>15</v>
      </c>
      <c r="I101" s="3" t="s">
        <v>16</v>
      </c>
      <c r="J101" s="7" t="s">
        <v>17</v>
      </c>
      <c r="K101" s="14" t="s">
        <v>19</v>
      </c>
      <c r="L101" s="10" t="s">
        <v>18</v>
      </c>
      <c r="M101" s="10" t="s">
        <v>75</v>
      </c>
      <c r="N101" s="10" t="s">
        <v>76</v>
      </c>
      <c r="O101" s="10" t="s">
        <v>77</v>
      </c>
      <c r="P101" s="10" t="s">
        <v>78</v>
      </c>
    </row>
    <row r="102" spans="3:16" ht="12.75">
      <c r="C102" s="109"/>
      <c r="D102" s="106"/>
      <c r="E102" s="106"/>
      <c r="F102" s="100"/>
      <c r="G102" s="100"/>
      <c r="H102" s="95"/>
      <c r="I102" s="100"/>
      <c r="J102" s="95"/>
      <c r="K102" s="95"/>
      <c r="L102" s="96"/>
      <c r="M102" s="33"/>
      <c r="N102" s="33"/>
      <c r="O102" s="33"/>
      <c r="P102" s="33"/>
    </row>
    <row r="103" spans="3:16" ht="12.75">
      <c r="C103" s="12" t="s">
        <v>22</v>
      </c>
      <c r="D103" s="108" t="s">
        <v>23</v>
      </c>
      <c r="E103" s="102">
        <v>1555</v>
      </c>
      <c r="F103" s="100"/>
      <c r="G103" s="100"/>
      <c r="H103" s="95"/>
      <c r="I103" s="100"/>
      <c r="J103" s="95"/>
      <c r="K103" s="95"/>
      <c r="L103" s="96"/>
      <c r="M103" s="80"/>
      <c r="N103" s="33"/>
      <c r="O103" s="33"/>
      <c r="P103" s="33"/>
    </row>
    <row r="104" spans="3:16" ht="12.75">
      <c r="C104" s="110"/>
      <c r="D104" s="107"/>
      <c r="E104" s="107"/>
      <c r="F104" s="101"/>
      <c r="G104" s="101"/>
      <c r="H104" s="97"/>
      <c r="I104" s="101"/>
      <c r="J104" s="97"/>
      <c r="K104" s="97"/>
      <c r="L104" s="98"/>
      <c r="M104" s="88" t="s">
        <v>69</v>
      </c>
      <c r="N104" s="99"/>
      <c r="O104" s="83"/>
      <c r="P104" s="83"/>
    </row>
    <row r="105" spans="3:17" ht="12.75">
      <c r="C105" s="6">
        <v>1</v>
      </c>
      <c r="D105" s="5">
        <v>1000</v>
      </c>
      <c r="E105" s="5">
        <v>1494</v>
      </c>
      <c r="F105" s="5">
        <v>1989</v>
      </c>
      <c r="G105" s="5">
        <v>74</v>
      </c>
      <c r="H105" s="8">
        <v>16.7</v>
      </c>
      <c r="I105" s="5">
        <v>88</v>
      </c>
      <c r="J105" s="8">
        <v>48.7</v>
      </c>
      <c r="K105" s="92">
        <f>(100*(F105-D105)*(COS((90-I105-J105/60)*PI()/180))^2)/1000</f>
        <v>98.85746315128853</v>
      </c>
      <c r="L105" s="77">
        <f>$E$103/1000-E105/1000+K105*TAN((90-I105-J105/60)*PI()/180)</f>
        <v>2.1116303796796863</v>
      </c>
      <c r="M105" s="93">
        <f>IF($G$62+G105+H105/60&lt;360,$G$62+G105+H105/60,$G$62+G105+H105/60-360)</f>
        <v>103.72</v>
      </c>
      <c r="N105" s="181">
        <f aca="true" t="shared" si="11" ref="N105:N130">$L$83+K105*COS(M105*PI()/180)</f>
        <v>2076.5532571414165</v>
      </c>
      <c r="O105" s="181">
        <f aca="true" t="shared" si="12" ref="O105:O130">M$83+K105*SIN(M105*PI()/180)</f>
        <v>3196.0367027236557</v>
      </c>
      <c r="P105" s="135">
        <f>N$83+L105</f>
        <v>135.8616303796797</v>
      </c>
      <c r="Q105" s="139" t="s">
        <v>86</v>
      </c>
    </row>
    <row r="106" spans="3:17" ht="12.75">
      <c r="C106" s="3">
        <f>1+C105</f>
        <v>2</v>
      </c>
      <c r="D106" s="1">
        <v>1000</v>
      </c>
      <c r="E106" s="1">
        <v>1503</v>
      </c>
      <c r="F106" s="1">
        <v>2006</v>
      </c>
      <c r="G106" s="1">
        <v>71</v>
      </c>
      <c r="H106" s="2">
        <v>14.3</v>
      </c>
      <c r="I106" s="1">
        <v>88</v>
      </c>
      <c r="J106" s="2">
        <v>49</v>
      </c>
      <c r="K106" s="13">
        <f aca="true" t="shared" si="13" ref="K106:K169">(100*(F106-D106)*(COS((90-I106-J106/60)*PI()/180))^2)/1000</f>
        <v>100.55709527107625</v>
      </c>
      <c r="L106" s="34">
        <f aca="true" t="shared" si="14" ref="L106:L131">$E$103/1000-E106/1000+K106*TAN((90-I106-J106/60)*PI()/180)</f>
        <v>2.129107342908618</v>
      </c>
      <c r="M106" s="25">
        <f aca="true" t="shared" si="15" ref="M106:M131">IF($G$62+G106+H106/60&lt;360,$G$62+G106+H106/60,$G$62+G106+H106/60-360)</f>
        <v>100.67999999999999</v>
      </c>
      <c r="N106" s="182">
        <f t="shared" si="11"/>
        <v>2081.364396343673</v>
      </c>
      <c r="O106" s="182">
        <f t="shared" si="12"/>
        <v>3198.815199669487</v>
      </c>
      <c r="P106" s="136">
        <f>N$83+L106</f>
        <v>135.8791073429086</v>
      </c>
      <c r="Q106" s="139" t="s">
        <v>86</v>
      </c>
    </row>
    <row r="107" spans="3:17" ht="12.75">
      <c r="C107" s="3">
        <f>1+C106</f>
        <v>3</v>
      </c>
      <c r="D107" s="1">
        <v>1000</v>
      </c>
      <c r="E107" s="1">
        <v>1354</v>
      </c>
      <c r="F107" s="1">
        <v>1707</v>
      </c>
      <c r="G107" s="1">
        <v>54</v>
      </c>
      <c r="H107" s="2">
        <v>5.7</v>
      </c>
      <c r="I107" s="1">
        <v>88</v>
      </c>
      <c r="J107" s="2">
        <v>36.4</v>
      </c>
      <c r="K107" s="13">
        <f t="shared" si="13"/>
        <v>70.65819785275019</v>
      </c>
      <c r="L107" s="34">
        <f t="shared" si="14"/>
        <v>1.9196228181447368</v>
      </c>
      <c r="M107" s="25">
        <f t="shared" si="15"/>
        <v>83.53666666666666</v>
      </c>
      <c r="N107" s="182">
        <f t="shared" si="11"/>
        <v>2107.953806108452</v>
      </c>
      <c r="O107" s="182">
        <f t="shared" si="12"/>
        <v>3170.2091012062365</v>
      </c>
      <c r="P107" s="136">
        <f aca="true" t="shared" si="16" ref="P107:P131">N$83+L107</f>
        <v>135.66962281814475</v>
      </c>
      <c r="Q107" s="139" t="s">
        <v>87</v>
      </c>
    </row>
    <row r="108" spans="3:17" ht="12.75">
      <c r="C108" s="3">
        <f aca="true" t="shared" si="17" ref="C108:C131">1+C107</f>
        <v>4</v>
      </c>
      <c r="D108" s="1">
        <v>1000</v>
      </c>
      <c r="E108" s="1">
        <v>1259</v>
      </c>
      <c r="F108" s="1">
        <v>1518</v>
      </c>
      <c r="G108" s="1">
        <v>19</v>
      </c>
      <c r="H108" s="2">
        <v>17.3</v>
      </c>
      <c r="I108" s="1">
        <v>88</v>
      </c>
      <c r="J108" s="2">
        <v>14.2</v>
      </c>
      <c r="K108" s="13">
        <f t="shared" si="13"/>
        <v>51.75095257523252</v>
      </c>
      <c r="L108" s="34">
        <f t="shared" si="14"/>
        <v>1.8891889257332437</v>
      </c>
      <c r="M108" s="25">
        <f t="shared" si="15"/>
        <v>48.73</v>
      </c>
      <c r="N108" s="182">
        <f t="shared" si="11"/>
        <v>2134.1353535317153</v>
      </c>
      <c r="O108" s="182">
        <f t="shared" si="12"/>
        <v>3138.8965131047603</v>
      </c>
      <c r="P108" s="136">
        <f t="shared" si="16"/>
        <v>135.63918892573324</v>
      </c>
      <c r="Q108" s="139" t="s">
        <v>87</v>
      </c>
    </row>
    <row r="109" spans="3:17" ht="12.75">
      <c r="C109" s="3">
        <f t="shared" si="17"/>
        <v>5</v>
      </c>
      <c r="D109" s="1">
        <v>1000</v>
      </c>
      <c r="E109" s="1">
        <v>1384</v>
      </c>
      <c r="F109" s="1">
        <v>1768</v>
      </c>
      <c r="G109" s="1">
        <v>332</v>
      </c>
      <c r="H109" s="2">
        <v>48.2</v>
      </c>
      <c r="I109" s="1">
        <v>88</v>
      </c>
      <c r="J109" s="2">
        <v>52</v>
      </c>
      <c r="K109" s="13">
        <f t="shared" si="13"/>
        <v>76.76995483192506</v>
      </c>
      <c r="L109" s="34">
        <f t="shared" si="14"/>
        <v>1.689738356673217</v>
      </c>
      <c r="M109" s="25">
        <f t="shared" si="15"/>
        <v>2.2450000000000045</v>
      </c>
      <c r="N109" s="182">
        <f t="shared" si="11"/>
        <v>2176.711030705729</v>
      </c>
      <c r="O109" s="182">
        <f t="shared" si="12"/>
        <v>3103.0072799937006</v>
      </c>
      <c r="P109" s="136">
        <f t="shared" si="16"/>
        <v>135.43973835667322</v>
      </c>
      <c r="Q109" s="139" t="s">
        <v>86</v>
      </c>
    </row>
    <row r="110" spans="3:17" ht="12.75">
      <c r="C110" s="3">
        <f t="shared" si="17"/>
        <v>6</v>
      </c>
      <c r="D110" s="1">
        <v>1000</v>
      </c>
      <c r="E110" s="1">
        <v>1407</v>
      </c>
      <c r="F110" s="1">
        <v>1813</v>
      </c>
      <c r="G110" s="1">
        <v>334</v>
      </c>
      <c r="H110" s="2">
        <v>54.6</v>
      </c>
      <c r="I110" s="1">
        <v>88</v>
      </c>
      <c r="J110" s="2">
        <v>53.1</v>
      </c>
      <c r="K110" s="13">
        <f t="shared" si="13"/>
        <v>81.26921492675243</v>
      </c>
      <c r="L110" s="34">
        <f t="shared" si="14"/>
        <v>1.7297328264578118</v>
      </c>
      <c r="M110" s="25">
        <f t="shared" si="15"/>
        <v>4.351666666666688</v>
      </c>
      <c r="N110" s="182">
        <f t="shared" si="11"/>
        <v>2181.0349251889625</v>
      </c>
      <c r="O110" s="182">
        <f t="shared" si="12"/>
        <v>3106.166538285774</v>
      </c>
      <c r="P110" s="136">
        <f t="shared" si="16"/>
        <v>135.47973282645782</v>
      </c>
      <c r="Q110" s="139" t="s">
        <v>86</v>
      </c>
    </row>
    <row r="111" spans="3:17" ht="12.75">
      <c r="C111" s="3">
        <f t="shared" si="17"/>
        <v>7</v>
      </c>
      <c r="D111" s="1">
        <v>1000</v>
      </c>
      <c r="E111" s="1">
        <v>1354</v>
      </c>
      <c r="F111" s="1">
        <v>1709</v>
      </c>
      <c r="G111" s="1">
        <v>324</v>
      </c>
      <c r="H111" s="2">
        <v>0.3</v>
      </c>
      <c r="I111" s="1">
        <v>89</v>
      </c>
      <c r="J111" s="2">
        <v>2.8</v>
      </c>
      <c r="K111" s="13">
        <f t="shared" si="13"/>
        <v>70.88037315698932</v>
      </c>
      <c r="L111" s="34">
        <f t="shared" si="14"/>
        <v>1.3804735929601344</v>
      </c>
      <c r="M111" s="25">
        <f t="shared" si="15"/>
        <v>353.44666666666666</v>
      </c>
      <c r="N111" s="182">
        <f t="shared" si="11"/>
        <v>2170.4172444070778</v>
      </c>
      <c r="O111" s="182">
        <f t="shared" si="12"/>
        <v>3091.9105631229386</v>
      </c>
      <c r="P111" s="136">
        <f t="shared" si="16"/>
        <v>135.13047359296013</v>
      </c>
      <c r="Q111" s="139" t="s">
        <v>88</v>
      </c>
    </row>
    <row r="112" spans="3:17" ht="12.75">
      <c r="C112" s="3">
        <f t="shared" si="17"/>
        <v>8</v>
      </c>
      <c r="D112" s="1">
        <v>1000</v>
      </c>
      <c r="E112" s="1">
        <v>1263</v>
      </c>
      <c r="F112" s="1">
        <v>1526</v>
      </c>
      <c r="G112" s="1">
        <v>336</v>
      </c>
      <c r="H112" s="2">
        <v>45.3</v>
      </c>
      <c r="I112" s="1">
        <v>89</v>
      </c>
      <c r="J112" s="2">
        <v>0.6</v>
      </c>
      <c r="K112" s="13">
        <f t="shared" si="13"/>
        <v>52.58429754173578</v>
      </c>
      <c r="L112" s="34">
        <f t="shared" si="14"/>
        <v>1.2006818681486207</v>
      </c>
      <c r="M112" s="25">
        <f t="shared" si="15"/>
        <v>6.196666666666658</v>
      </c>
      <c r="N112" s="182">
        <f t="shared" si="11"/>
        <v>2152.277060397369</v>
      </c>
      <c r="O112" s="182">
        <f t="shared" si="12"/>
        <v>3105.676028908278</v>
      </c>
      <c r="P112" s="136">
        <f t="shared" si="16"/>
        <v>134.95068186814862</v>
      </c>
      <c r="Q112" s="139" t="s">
        <v>89</v>
      </c>
    </row>
    <row r="113" spans="3:17" ht="12.75">
      <c r="C113" s="3">
        <f t="shared" si="17"/>
        <v>9</v>
      </c>
      <c r="D113" s="1">
        <v>1000</v>
      </c>
      <c r="E113" s="1">
        <v>1178</v>
      </c>
      <c r="F113" s="1">
        <v>1357</v>
      </c>
      <c r="G113" s="1">
        <v>326</v>
      </c>
      <c r="H113" s="2">
        <v>15.7</v>
      </c>
      <c r="I113" s="1">
        <v>89</v>
      </c>
      <c r="J113" s="2">
        <v>28.8</v>
      </c>
      <c r="K113" s="13">
        <f t="shared" si="13"/>
        <v>35.69705952348951</v>
      </c>
      <c r="L113" s="34">
        <f t="shared" si="14"/>
        <v>0.7009851308659818</v>
      </c>
      <c r="M113" s="25">
        <f t="shared" si="15"/>
        <v>355.7033333333333</v>
      </c>
      <c r="N113" s="182">
        <f t="shared" si="11"/>
        <v>2135.59673272077</v>
      </c>
      <c r="O113" s="182">
        <f t="shared" si="12"/>
        <v>3097.325550854921</v>
      </c>
      <c r="P113" s="136">
        <f t="shared" si="16"/>
        <v>134.45098513086597</v>
      </c>
      <c r="Q113" s="139" t="s">
        <v>89</v>
      </c>
    </row>
    <row r="114" spans="3:17" ht="12.75">
      <c r="C114" s="3">
        <f t="shared" si="17"/>
        <v>10</v>
      </c>
      <c r="D114" s="1">
        <v>1000</v>
      </c>
      <c r="E114" s="1">
        <v>1150</v>
      </c>
      <c r="F114" s="1">
        <v>1300</v>
      </c>
      <c r="G114" s="1">
        <v>357</v>
      </c>
      <c r="H114" s="2">
        <v>15.3</v>
      </c>
      <c r="I114" s="1">
        <v>89</v>
      </c>
      <c r="J114" s="2">
        <v>23.9</v>
      </c>
      <c r="K114" s="13">
        <f t="shared" si="13"/>
        <v>29.996691951034464</v>
      </c>
      <c r="L114" s="34">
        <f t="shared" si="14"/>
        <v>0.7200087709544672</v>
      </c>
      <c r="M114" s="25">
        <f t="shared" si="15"/>
        <v>26.69666666666666</v>
      </c>
      <c r="N114" s="182">
        <f t="shared" si="11"/>
        <v>2126.7989704113047</v>
      </c>
      <c r="O114" s="182">
        <f t="shared" si="12"/>
        <v>3113.476524511136</v>
      </c>
      <c r="P114" s="136">
        <f t="shared" si="16"/>
        <v>134.47000877095448</v>
      </c>
      <c r="Q114" s="139" t="s">
        <v>89</v>
      </c>
    </row>
    <row r="115" spans="3:17" ht="12.75">
      <c r="C115" s="3">
        <f t="shared" si="17"/>
        <v>11</v>
      </c>
      <c r="D115" s="1">
        <v>1000</v>
      </c>
      <c r="E115" s="1">
        <v>1183</v>
      </c>
      <c r="F115" s="1">
        <v>1367</v>
      </c>
      <c r="G115" s="1">
        <v>50</v>
      </c>
      <c r="H115" s="2">
        <v>3.5</v>
      </c>
      <c r="I115" s="1">
        <v>89</v>
      </c>
      <c r="J115" s="2">
        <v>18</v>
      </c>
      <c r="K115" s="13">
        <f t="shared" si="13"/>
        <v>36.69452233748471</v>
      </c>
      <c r="L115" s="34">
        <f t="shared" si="14"/>
        <v>0.8203304691011852</v>
      </c>
      <c r="M115" s="25">
        <f t="shared" si="15"/>
        <v>79.5</v>
      </c>
      <c r="N115" s="182">
        <f t="shared" si="11"/>
        <v>2106.687045560855</v>
      </c>
      <c r="O115" s="182">
        <f t="shared" si="12"/>
        <v>3136.080069169047</v>
      </c>
      <c r="P115" s="136">
        <f t="shared" si="16"/>
        <v>134.57033046910118</v>
      </c>
      <c r="Q115" s="139" t="s">
        <v>90</v>
      </c>
    </row>
    <row r="116" spans="3:17" ht="12.75">
      <c r="C116" s="3">
        <f t="shared" si="17"/>
        <v>12</v>
      </c>
      <c r="D116" s="1">
        <v>1000</v>
      </c>
      <c r="E116" s="1">
        <v>1227</v>
      </c>
      <c r="F116" s="1">
        <v>1454</v>
      </c>
      <c r="G116" s="1">
        <v>101</v>
      </c>
      <c r="H116" s="2">
        <v>30.2</v>
      </c>
      <c r="I116" s="1">
        <v>89</v>
      </c>
      <c r="J116" s="2">
        <v>48.5</v>
      </c>
      <c r="K116" s="13">
        <f t="shared" si="13"/>
        <v>45.39949195503925</v>
      </c>
      <c r="L116" s="34">
        <f t="shared" si="14"/>
        <v>0.4798716007298036</v>
      </c>
      <c r="M116" s="25">
        <f t="shared" si="15"/>
        <v>130.945</v>
      </c>
      <c r="N116" s="182">
        <f t="shared" si="11"/>
        <v>2070.248157642217</v>
      </c>
      <c r="O116" s="182">
        <f t="shared" si="12"/>
        <v>3134.292007029238</v>
      </c>
      <c r="P116" s="136">
        <f t="shared" si="16"/>
        <v>134.2298716007298</v>
      </c>
      <c r="Q116" s="139" t="s">
        <v>90</v>
      </c>
    </row>
    <row r="117" spans="3:17" ht="12.75">
      <c r="C117" s="3">
        <f t="shared" si="17"/>
        <v>13</v>
      </c>
      <c r="D117" s="1">
        <v>1000</v>
      </c>
      <c r="E117" s="1">
        <v>1399</v>
      </c>
      <c r="F117" s="1">
        <v>1799</v>
      </c>
      <c r="G117" s="1">
        <v>93</v>
      </c>
      <c r="H117" s="2">
        <v>37.8</v>
      </c>
      <c r="I117" s="1">
        <v>89</v>
      </c>
      <c r="J117" s="2">
        <v>10.7</v>
      </c>
      <c r="K117" s="13">
        <f t="shared" si="13"/>
        <v>79.88356903464232</v>
      </c>
      <c r="L117" s="34">
        <f t="shared" si="14"/>
        <v>1.3016719231331326</v>
      </c>
      <c r="M117" s="25">
        <f t="shared" si="15"/>
        <v>123.07166666666666</v>
      </c>
      <c r="N117" s="182">
        <f t="shared" si="11"/>
        <v>2056.4085242168308</v>
      </c>
      <c r="O117" s="182">
        <f t="shared" si="12"/>
        <v>3166.9415255335416</v>
      </c>
      <c r="P117" s="136">
        <f t="shared" si="16"/>
        <v>135.05167192313314</v>
      </c>
      <c r="Q117" s="139" t="s">
        <v>90</v>
      </c>
    </row>
    <row r="118" spans="3:17" ht="12.75">
      <c r="C118" s="3">
        <f t="shared" si="17"/>
        <v>14</v>
      </c>
      <c r="D118" s="1">
        <v>1000</v>
      </c>
      <c r="E118" s="1">
        <v>1544</v>
      </c>
      <c r="F118" s="1">
        <v>2088</v>
      </c>
      <c r="G118" s="1">
        <v>123</v>
      </c>
      <c r="H118" s="2">
        <v>15.4</v>
      </c>
      <c r="I118" s="1">
        <v>89</v>
      </c>
      <c r="J118" s="2">
        <v>38.2</v>
      </c>
      <c r="K118" s="13">
        <f t="shared" si="13"/>
        <v>108.79562489686101</v>
      </c>
      <c r="L118" s="34">
        <f t="shared" si="14"/>
        <v>0.7009217926645714</v>
      </c>
      <c r="M118" s="25">
        <f t="shared" si="15"/>
        <v>152.69833333333332</v>
      </c>
      <c r="N118" s="182">
        <f t="shared" si="11"/>
        <v>2003.3237844250477</v>
      </c>
      <c r="O118" s="182">
        <f t="shared" si="12"/>
        <v>3149.901877107017</v>
      </c>
      <c r="P118" s="136">
        <f t="shared" si="16"/>
        <v>134.45092179266456</v>
      </c>
      <c r="Q118" s="139" t="s">
        <v>90</v>
      </c>
    </row>
    <row r="119" spans="3:17" ht="12.75">
      <c r="C119" s="3">
        <f t="shared" si="17"/>
        <v>15</v>
      </c>
      <c r="D119" s="1">
        <v>1000</v>
      </c>
      <c r="E119" s="1">
        <v>1642</v>
      </c>
      <c r="F119" s="1">
        <v>2284</v>
      </c>
      <c r="G119" s="1">
        <v>137</v>
      </c>
      <c r="H119" s="2">
        <v>15.4</v>
      </c>
      <c r="I119" s="1">
        <v>89</v>
      </c>
      <c r="J119" s="2">
        <v>52.3</v>
      </c>
      <c r="K119" s="13">
        <f t="shared" si="13"/>
        <v>128.39935583372738</v>
      </c>
      <c r="L119" s="34">
        <f t="shared" si="14"/>
        <v>0.20059439225706704</v>
      </c>
      <c r="M119" s="25">
        <f t="shared" si="15"/>
        <v>166.69833333333332</v>
      </c>
      <c r="N119" s="182">
        <f t="shared" si="11"/>
        <v>1975.0453189098107</v>
      </c>
      <c r="O119" s="182">
        <f t="shared" si="12"/>
        <v>3129.5418728615036</v>
      </c>
      <c r="P119" s="136">
        <f t="shared" si="16"/>
        <v>133.95059439225707</v>
      </c>
      <c r="Q119" s="139" t="s">
        <v>90</v>
      </c>
    </row>
    <row r="120" spans="3:17" ht="12.75">
      <c r="C120" s="3">
        <f t="shared" si="17"/>
        <v>16</v>
      </c>
      <c r="D120" s="1">
        <v>1000</v>
      </c>
      <c r="E120" s="1">
        <v>1537</v>
      </c>
      <c r="F120" s="1">
        <v>2074</v>
      </c>
      <c r="G120" s="1">
        <v>153</v>
      </c>
      <c r="H120" s="2">
        <v>16.2</v>
      </c>
      <c r="I120" s="1">
        <v>90</v>
      </c>
      <c r="J120" s="2">
        <v>7</v>
      </c>
      <c r="K120" s="13">
        <f t="shared" si="13"/>
        <v>107.39955470071727</v>
      </c>
      <c r="L120" s="34">
        <f t="shared" si="14"/>
        <v>-0.20068915079043884</v>
      </c>
      <c r="M120" s="25">
        <f t="shared" si="15"/>
        <v>182.71166666666667</v>
      </c>
      <c r="N120" s="182">
        <f t="shared" si="11"/>
        <v>1992.7207046235872</v>
      </c>
      <c r="O120" s="182">
        <f t="shared" si="12"/>
        <v>3094.918943667628</v>
      </c>
      <c r="P120" s="136">
        <f t="shared" si="16"/>
        <v>133.54931084920955</v>
      </c>
      <c r="Q120" s="139" t="s">
        <v>88</v>
      </c>
    </row>
    <row r="121" spans="3:17" ht="12.75">
      <c r="C121" s="3">
        <f t="shared" si="17"/>
        <v>17</v>
      </c>
      <c r="D121" s="1">
        <v>1000</v>
      </c>
      <c r="E121" s="1">
        <v>1341</v>
      </c>
      <c r="F121" s="1">
        <v>1683</v>
      </c>
      <c r="G121" s="1">
        <v>155</v>
      </c>
      <c r="H121" s="2">
        <v>27.6</v>
      </c>
      <c r="I121" s="1">
        <v>90</v>
      </c>
      <c r="J121" s="2">
        <v>20.8</v>
      </c>
      <c r="K121" s="13">
        <f t="shared" si="13"/>
        <v>68.29749968740595</v>
      </c>
      <c r="L121" s="34">
        <f t="shared" si="14"/>
        <v>-0.1992373393241807</v>
      </c>
      <c r="M121" s="25">
        <f t="shared" si="15"/>
        <v>184.90166666666667</v>
      </c>
      <c r="N121" s="182">
        <f t="shared" si="11"/>
        <v>2031.952277170909</v>
      </c>
      <c r="O121" s="182">
        <f t="shared" si="12"/>
        <v>3094.164258288238</v>
      </c>
      <c r="P121" s="136">
        <f t="shared" si="16"/>
        <v>133.55076266067582</v>
      </c>
      <c r="Q121" s="139" t="s">
        <v>88</v>
      </c>
    </row>
    <row r="122" spans="3:17" ht="12.75">
      <c r="C122" s="3">
        <f t="shared" si="17"/>
        <v>18</v>
      </c>
      <c r="D122" s="1">
        <v>1000</v>
      </c>
      <c r="E122" s="1">
        <v>1073</v>
      </c>
      <c r="F122" s="1">
        <v>1145</v>
      </c>
      <c r="G122" s="1">
        <v>174</v>
      </c>
      <c r="H122" s="2">
        <v>57.3</v>
      </c>
      <c r="I122" s="1">
        <v>90</v>
      </c>
      <c r="J122" s="2">
        <v>49.4</v>
      </c>
      <c r="K122" s="13">
        <f t="shared" si="13"/>
        <v>14.497006052081154</v>
      </c>
      <c r="L122" s="34">
        <f t="shared" si="14"/>
        <v>0.2736654586990195</v>
      </c>
      <c r="M122" s="25">
        <f t="shared" si="15"/>
        <v>204.39666666666668</v>
      </c>
      <c r="N122" s="182">
        <f t="shared" si="11"/>
        <v>2086.7974650671567</v>
      </c>
      <c r="O122" s="182">
        <f t="shared" si="12"/>
        <v>3094.011990662905</v>
      </c>
      <c r="P122" s="136">
        <f t="shared" si="16"/>
        <v>134.023665458699</v>
      </c>
      <c r="Q122" s="139" t="s">
        <v>88</v>
      </c>
    </row>
    <row r="123" spans="3:17" ht="12.75">
      <c r="C123" s="3">
        <f t="shared" si="17"/>
        <v>19</v>
      </c>
      <c r="D123" s="1">
        <v>1000</v>
      </c>
      <c r="E123" s="1">
        <v>1243</v>
      </c>
      <c r="F123" s="1">
        <v>1486</v>
      </c>
      <c r="G123" s="1">
        <v>284</v>
      </c>
      <c r="H123" s="2">
        <v>35.6</v>
      </c>
      <c r="I123" s="1">
        <v>90</v>
      </c>
      <c r="J123" s="2">
        <v>3</v>
      </c>
      <c r="K123" s="13">
        <f t="shared" si="13"/>
        <v>48.59996298899289</v>
      </c>
      <c r="L123" s="34">
        <f t="shared" si="14"/>
        <v>0.2695885207086709</v>
      </c>
      <c r="M123" s="25">
        <f t="shared" si="15"/>
        <v>314.03499999999997</v>
      </c>
      <c r="N123" s="182">
        <f t="shared" si="11"/>
        <v>2133.7817205741358</v>
      </c>
      <c r="O123" s="182">
        <f t="shared" si="12"/>
        <v>3065.060741885631</v>
      </c>
      <c r="P123" s="136">
        <f t="shared" si="16"/>
        <v>134.01958852070868</v>
      </c>
      <c r="Q123" s="139" t="s">
        <v>90</v>
      </c>
    </row>
    <row r="124" spans="3:17" ht="12.75">
      <c r="C124" s="3">
        <f t="shared" si="17"/>
        <v>20</v>
      </c>
      <c r="D124" s="1">
        <v>1000</v>
      </c>
      <c r="E124" s="1">
        <v>1334</v>
      </c>
      <c r="F124" s="1">
        <v>1667</v>
      </c>
      <c r="G124" s="1">
        <v>236</v>
      </c>
      <c r="H124" s="2">
        <v>35.6</v>
      </c>
      <c r="I124" s="1">
        <v>90</v>
      </c>
      <c r="J124" s="2">
        <v>43.4</v>
      </c>
      <c r="K124" s="13">
        <f t="shared" si="13"/>
        <v>66.68936997086793</v>
      </c>
      <c r="L124" s="34">
        <f t="shared" si="14"/>
        <v>-0.6209679005696127</v>
      </c>
      <c r="M124" s="25">
        <f t="shared" si="15"/>
        <v>266.03499999999997</v>
      </c>
      <c r="N124" s="182">
        <f t="shared" si="11"/>
        <v>2095.388624561673</v>
      </c>
      <c r="O124" s="182">
        <f t="shared" si="12"/>
        <v>3033.470252640807</v>
      </c>
      <c r="P124" s="136">
        <f t="shared" si="16"/>
        <v>133.1290320994304</v>
      </c>
      <c r="Q124" s="139" t="s">
        <v>91</v>
      </c>
    </row>
    <row r="125" spans="3:17" ht="12.75">
      <c r="C125" s="3">
        <f t="shared" si="17"/>
        <v>21</v>
      </c>
      <c r="D125" s="1">
        <v>1000</v>
      </c>
      <c r="E125" s="1">
        <v>1362</v>
      </c>
      <c r="F125" s="1">
        <v>1725</v>
      </c>
      <c r="G125" s="1">
        <v>230</v>
      </c>
      <c r="H125" s="2">
        <v>27.8</v>
      </c>
      <c r="I125" s="1">
        <v>92</v>
      </c>
      <c r="J125" s="2">
        <v>14.5</v>
      </c>
      <c r="K125" s="13">
        <f t="shared" si="13"/>
        <v>72.38907914631352</v>
      </c>
      <c r="L125" s="34">
        <f t="shared" si="14"/>
        <v>-2.640629908172075</v>
      </c>
      <c r="M125" s="25">
        <f t="shared" si="15"/>
        <v>259.905</v>
      </c>
      <c r="N125" s="182">
        <f t="shared" si="11"/>
        <v>2087.311583476931</v>
      </c>
      <c r="O125" s="182">
        <f t="shared" si="12"/>
        <v>3028.7316138404385</v>
      </c>
      <c r="P125" s="136">
        <f t="shared" si="16"/>
        <v>131.1093700918279</v>
      </c>
      <c r="Q125" s="139" t="s">
        <v>92</v>
      </c>
    </row>
    <row r="126" spans="3:17" ht="12.75">
      <c r="C126" s="3">
        <f t="shared" si="17"/>
        <v>22</v>
      </c>
      <c r="D126" s="1">
        <v>1000</v>
      </c>
      <c r="E126" s="1">
        <v>1299</v>
      </c>
      <c r="F126" s="1">
        <v>1597</v>
      </c>
      <c r="G126" s="1">
        <v>210</v>
      </c>
      <c r="H126" s="2">
        <v>33.6</v>
      </c>
      <c r="I126" s="1">
        <v>92</v>
      </c>
      <c r="J126" s="2">
        <v>39.9</v>
      </c>
      <c r="K126" s="13">
        <f t="shared" si="13"/>
        <v>59.570934467570225</v>
      </c>
      <c r="L126" s="34">
        <f t="shared" si="14"/>
        <v>-2.5168242595584065</v>
      </c>
      <c r="M126" s="25">
        <f t="shared" si="15"/>
        <v>240.00166666666667</v>
      </c>
      <c r="N126" s="182">
        <f t="shared" si="11"/>
        <v>2070.2160334694145</v>
      </c>
      <c r="O126" s="182">
        <f t="shared" si="12"/>
        <v>3048.409191021612</v>
      </c>
      <c r="P126" s="136">
        <f t="shared" si="16"/>
        <v>131.2331757404416</v>
      </c>
      <c r="Q126" s="139" t="s">
        <v>92</v>
      </c>
    </row>
    <row r="127" spans="3:17" ht="12.75">
      <c r="C127" s="3">
        <f t="shared" si="17"/>
        <v>23</v>
      </c>
      <c r="D127" s="1">
        <v>1000</v>
      </c>
      <c r="E127" s="1">
        <v>1228</v>
      </c>
      <c r="F127" s="1">
        <v>1457</v>
      </c>
      <c r="G127" s="1">
        <v>207</v>
      </c>
      <c r="H127" s="2">
        <v>30.2</v>
      </c>
      <c r="I127" s="1">
        <v>91</v>
      </c>
      <c r="J127" s="2">
        <v>7.5</v>
      </c>
      <c r="K127" s="13">
        <f t="shared" si="13"/>
        <v>45.68238347810051</v>
      </c>
      <c r="L127" s="34">
        <f t="shared" si="14"/>
        <v>-0.5700867900947175</v>
      </c>
      <c r="M127" s="25">
        <f t="shared" si="15"/>
        <v>236.945</v>
      </c>
      <c r="N127" s="182">
        <f t="shared" si="11"/>
        <v>2075.0828248826842</v>
      </c>
      <c r="O127" s="182">
        <f t="shared" si="12"/>
        <v>3061.711430629844</v>
      </c>
      <c r="P127" s="136">
        <f t="shared" si="16"/>
        <v>133.1799132099053</v>
      </c>
      <c r="Q127" s="139" t="s">
        <v>91</v>
      </c>
    </row>
    <row r="128" spans="3:17" ht="12.75">
      <c r="C128" s="3">
        <f t="shared" si="17"/>
        <v>24</v>
      </c>
      <c r="D128" s="1">
        <v>1000</v>
      </c>
      <c r="E128" s="1">
        <v>1295</v>
      </c>
      <c r="F128" s="1">
        <v>1590</v>
      </c>
      <c r="G128" s="1">
        <v>185</v>
      </c>
      <c r="H128" s="2">
        <v>57.81</v>
      </c>
      <c r="I128" s="1">
        <v>90</v>
      </c>
      <c r="J128" s="2">
        <v>48.3</v>
      </c>
      <c r="K128" s="13">
        <f t="shared" si="13"/>
        <v>58.98835418381983</v>
      </c>
      <c r="L128" s="34">
        <f t="shared" si="14"/>
        <v>-0.5688350436580509</v>
      </c>
      <c r="M128" s="25">
        <f t="shared" si="15"/>
        <v>215.40516666666667</v>
      </c>
      <c r="N128" s="182">
        <f t="shared" si="11"/>
        <v>2051.920034443522</v>
      </c>
      <c r="O128" s="182">
        <f t="shared" si="12"/>
        <v>3065.8248212674216</v>
      </c>
      <c r="P128" s="136">
        <f t="shared" si="16"/>
        <v>133.18116495634195</v>
      </c>
      <c r="Q128" s="139" t="s">
        <v>91</v>
      </c>
    </row>
    <row r="129" spans="3:17" ht="12.75">
      <c r="C129" s="3">
        <f t="shared" si="17"/>
        <v>25</v>
      </c>
      <c r="D129" s="1">
        <v>1000</v>
      </c>
      <c r="E129" s="1">
        <v>1372</v>
      </c>
      <c r="F129" s="1">
        <v>1744</v>
      </c>
      <c r="G129" s="1">
        <v>190</v>
      </c>
      <c r="H129" s="2">
        <v>16.7</v>
      </c>
      <c r="I129" s="1">
        <v>92</v>
      </c>
      <c r="J129" s="2">
        <v>12</v>
      </c>
      <c r="K129" s="13">
        <f t="shared" si="13"/>
        <v>74.29036238284142</v>
      </c>
      <c r="L129" s="34">
        <f t="shared" si="14"/>
        <v>-2.6709478463176537</v>
      </c>
      <c r="M129" s="25">
        <f t="shared" si="15"/>
        <v>219.72</v>
      </c>
      <c r="N129" s="182">
        <f t="shared" si="11"/>
        <v>2042.8575963933724</v>
      </c>
      <c r="O129" s="182">
        <f t="shared" si="12"/>
        <v>3052.5257580046696</v>
      </c>
      <c r="P129" s="136">
        <f t="shared" si="16"/>
        <v>131.07905215368234</v>
      </c>
      <c r="Q129" s="139" t="s">
        <v>92</v>
      </c>
    </row>
    <row r="130" spans="3:17" ht="12.75">
      <c r="C130" s="3">
        <f t="shared" si="17"/>
        <v>26</v>
      </c>
      <c r="D130" s="1">
        <v>1000</v>
      </c>
      <c r="E130" s="1">
        <v>1507</v>
      </c>
      <c r="F130" s="1">
        <v>2015</v>
      </c>
      <c r="G130" s="1">
        <v>178</v>
      </c>
      <c r="H130" s="2">
        <v>37.8</v>
      </c>
      <c r="I130" s="1">
        <v>91</v>
      </c>
      <c r="J130" s="2">
        <v>31.8</v>
      </c>
      <c r="K130" s="13">
        <f t="shared" si="13"/>
        <v>101.42763969181513</v>
      </c>
      <c r="L130" s="34">
        <f t="shared" si="14"/>
        <v>-2.661120755257094</v>
      </c>
      <c r="M130" s="25">
        <f t="shared" si="15"/>
        <v>208.07166666666666</v>
      </c>
      <c r="N130" s="182">
        <f t="shared" si="11"/>
        <v>2010.5043404794694</v>
      </c>
      <c r="O130" s="182">
        <f t="shared" si="12"/>
        <v>3052.2706272779756</v>
      </c>
      <c r="P130" s="136">
        <f>N$83+L130</f>
        <v>131.0888792447429</v>
      </c>
      <c r="Q130" s="139" t="s">
        <v>92</v>
      </c>
    </row>
    <row r="131" spans="3:17" ht="12.75">
      <c r="C131" s="3">
        <f t="shared" si="17"/>
        <v>27</v>
      </c>
      <c r="D131" s="1">
        <v>1000</v>
      </c>
      <c r="E131" s="1">
        <v>1532</v>
      </c>
      <c r="F131" s="1">
        <v>2064</v>
      </c>
      <c r="G131" s="1">
        <v>197</v>
      </c>
      <c r="H131" s="2">
        <v>14.7</v>
      </c>
      <c r="I131" s="1">
        <v>91</v>
      </c>
      <c r="J131" s="2">
        <v>26.5</v>
      </c>
      <c r="K131" s="13">
        <f t="shared" si="13"/>
        <v>106.33265049281844</v>
      </c>
      <c r="L131" s="34">
        <f t="shared" si="14"/>
        <v>-2.653088863995496</v>
      </c>
      <c r="M131" s="25">
        <f t="shared" si="15"/>
        <v>226.68666666666667</v>
      </c>
      <c r="N131" s="182">
        <f>$L$83+K131*COS(M131*PI()/180)</f>
        <v>2027.0571102099764</v>
      </c>
      <c r="O131" s="182">
        <f>M$83+K131*SIN(M131*PI()/180)</f>
        <v>3022.6309662079952</v>
      </c>
      <c r="P131" s="136">
        <f t="shared" si="16"/>
        <v>131.0969111360045</v>
      </c>
      <c r="Q131" s="139" t="s">
        <v>93</v>
      </c>
    </row>
    <row r="132" spans="3:17" ht="12.75">
      <c r="C132" s="10"/>
      <c r="D132" s="11"/>
      <c r="E132" s="11"/>
      <c r="F132" s="81"/>
      <c r="G132" s="84"/>
      <c r="H132" s="84"/>
      <c r="I132" s="84"/>
      <c r="J132" s="84"/>
      <c r="K132" s="89"/>
      <c r="L132" s="85"/>
      <c r="M132" s="87"/>
      <c r="N132" s="183"/>
      <c r="O132" s="183"/>
      <c r="P132" s="84"/>
      <c r="Q132" s="142"/>
    </row>
    <row r="133" spans="3:17" ht="12.75">
      <c r="C133" s="12" t="s">
        <v>79</v>
      </c>
      <c r="D133" s="11" t="s">
        <v>0</v>
      </c>
      <c r="E133" s="51">
        <v>1555</v>
      </c>
      <c r="F133" s="91"/>
      <c r="G133" s="33"/>
      <c r="H133" s="33"/>
      <c r="I133" s="33"/>
      <c r="J133" s="33"/>
      <c r="K133" s="78"/>
      <c r="L133" s="79"/>
      <c r="M133" s="80"/>
      <c r="N133" s="184"/>
      <c r="O133" s="184"/>
      <c r="P133" s="33"/>
      <c r="Q133" s="142"/>
    </row>
    <row r="134" spans="3:17" ht="12.75">
      <c r="C134" s="10"/>
      <c r="D134" s="11"/>
      <c r="E134" s="11"/>
      <c r="F134" s="82"/>
      <c r="G134" s="83"/>
      <c r="H134" s="83"/>
      <c r="I134" s="83"/>
      <c r="J134" s="83"/>
      <c r="K134" s="90"/>
      <c r="L134" s="86"/>
      <c r="M134" s="88" t="s">
        <v>70</v>
      </c>
      <c r="N134" s="99"/>
      <c r="O134" s="99"/>
      <c r="P134" s="83"/>
      <c r="Q134" s="143"/>
    </row>
    <row r="135" spans="3:17" ht="12.75">
      <c r="C135" s="3">
        <v>28</v>
      </c>
      <c r="D135" s="1">
        <v>1000</v>
      </c>
      <c r="E135" s="1">
        <v>1244</v>
      </c>
      <c r="F135" s="1">
        <v>1489</v>
      </c>
      <c r="G135" s="1">
        <v>113</v>
      </c>
      <c r="H135" s="2">
        <v>30.7</v>
      </c>
      <c r="I135" s="1">
        <v>91</v>
      </c>
      <c r="J135" s="2">
        <v>17.1</v>
      </c>
      <c r="K135" s="13">
        <f t="shared" si="13"/>
        <v>48.875407819776825</v>
      </c>
      <c r="L135" s="34">
        <f>$E$133/1000-E135/1000+K135*TAN((90-I135-J135/60)*PI()/180)</f>
        <v>-0.7853360970000782</v>
      </c>
      <c r="M135" s="25">
        <f>IF($G$64+G135+H135/60&lt;360,$G$64+G135+H135/60,$G$64+G135+H135/60-360)</f>
        <v>37.28499999999997</v>
      </c>
      <c r="N135" s="182">
        <f>$L$84+K135*COS(M135*PI()/180)</f>
        <v>2269.1251915108546</v>
      </c>
      <c r="O135" s="182">
        <f>M$84+K135*SIN(M135*PI()/180)</f>
        <v>3203.1559186135237</v>
      </c>
      <c r="P135" s="136">
        <f>N$84+L135</f>
        <v>136.92500167049556</v>
      </c>
      <c r="Q135" s="141" t="s">
        <v>94</v>
      </c>
    </row>
    <row r="136" spans="3:17" ht="12.75">
      <c r="C136" s="3">
        <f aca="true" t="shared" si="18" ref="C136:C156">1+C135</f>
        <v>29</v>
      </c>
      <c r="D136" s="1">
        <v>1000</v>
      </c>
      <c r="E136" s="1">
        <v>1269</v>
      </c>
      <c r="F136" s="1">
        <v>1538</v>
      </c>
      <c r="G136" s="1">
        <v>74</v>
      </c>
      <c r="H136" s="2">
        <v>31.2</v>
      </c>
      <c r="I136" s="1">
        <v>92</v>
      </c>
      <c r="J136" s="2">
        <v>25.1</v>
      </c>
      <c r="K136" s="13">
        <f t="shared" si="13"/>
        <v>53.70421193055875</v>
      </c>
      <c r="L136" s="34">
        <f aca="true" t="shared" si="19" ref="L136:L156">$E$133/1000-E136/1000+K136*TAN((90-I136-J136/60)*PI()/180)</f>
        <v>-1.9820879131311377</v>
      </c>
      <c r="M136" s="25">
        <f aca="true" t="shared" si="20" ref="M136:M156">IF($G$64+G136+H136/60&lt;360,$G$64+G136+H136/60,$G$64+G136+H136/60-360)</f>
        <v>358.2933333333333</v>
      </c>
      <c r="N136" s="182">
        <f aca="true" t="shared" si="21" ref="N136:N155">$L$84+K136*COS(M136*PI()/180)</f>
        <v>2283.918736924967</v>
      </c>
      <c r="O136" s="182">
        <f aca="true" t="shared" si="22" ref="O136:O156">M$84+K136*SIN(M136*PI()/180)</f>
        <v>3171.9487196863215</v>
      </c>
      <c r="P136" s="136">
        <f>N$84+L136</f>
        <v>135.72824985436452</v>
      </c>
      <c r="Q136" s="139" t="s">
        <v>86</v>
      </c>
    </row>
    <row r="137" spans="3:17" ht="12.75">
      <c r="C137" s="3">
        <f t="shared" si="18"/>
        <v>30</v>
      </c>
      <c r="D137" s="1">
        <v>1000</v>
      </c>
      <c r="E137" s="1">
        <v>1287</v>
      </c>
      <c r="F137" s="1">
        <v>1573</v>
      </c>
      <c r="G137" s="1">
        <v>70</v>
      </c>
      <c r="H137" s="2">
        <v>10.3</v>
      </c>
      <c r="I137" s="1">
        <v>92</v>
      </c>
      <c r="J137" s="2">
        <v>12.8</v>
      </c>
      <c r="K137" s="13">
        <f t="shared" si="13"/>
        <v>57.214535261722794</v>
      </c>
      <c r="L137" s="34">
        <f t="shared" si="19"/>
        <v>-1.9432949332450737</v>
      </c>
      <c r="M137" s="25">
        <f t="shared" si="20"/>
        <v>353.945</v>
      </c>
      <c r="N137" s="182">
        <f t="shared" si="21"/>
        <v>2287.1336890230136</v>
      </c>
      <c r="O137" s="182">
        <f t="shared" si="22"/>
        <v>3167.5130021272776</v>
      </c>
      <c r="P137" s="136">
        <f aca="true" t="shared" si="23" ref="P137:P156">N$84+L137</f>
        <v>135.76704283425056</v>
      </c>
      <c r="Q137" s="139" t="s">
        <v>86</v>
      </c>
    </row>
    <row r="138" spans="3:17" ht="12.75">
      <c r="C138" s="3">
        <f t="shared" si="18"/>
        <v>31</v>
      </c>
      <c r="D138" s="1">
        <v>1000</v>
      </c>
      <c r="E138" s="1">
        <v>1357</v>
      </c>
      <c r="F138" s="1">
        <v>1714</v>
      </c>
      <c r="G138" s="1">
        <v>59</v>
      </c>
      <c r="H138" s="2">
        <v>16.7</v>
      </c>
      <c r="I138" s="1">
        <v>91</v>
      </c>
      <c r="J138" s="2">
        <v>30.2</v>
      </c>
      <c r="K138" s="13">
        <f t="shared" si="13"/>
        <v>71.35085675193545</v>
      </c>
      <c r="L138" s="34">
        <f t="shared" si="19"/>
        <v>-1.6745418160826746</v>
      </c>
      <c r="M138" s="25">
        <f t="shared" si="20"/>
        <v>343.0516666666666</v>
      </c>
      <c r="N138" s="182">
        <f t="shared" si="21"/>
        <v>2298.49029546293</v>
      </c>
      <c r="O138" s="182">
        <f t="shared" si="22"/>
        <v>3152.748734295354</v>
      </c>
      <c r="P138" s="136">
        <f t="shared" si="23"/>
        <v>136.03579595141298</v>
      </c>
      <c r="Q138" s="139" t="s">
        <v>88</v>
      </c>
    </row>
    <row r="139" spans="3:17" ht="12.75">
      <c r="C139" s="3">
        <f t="shared" si="18"/>
        <v>32</v>
      </c>
      <c r="D139" s="1">
        <v>1000</v>
      </c>
      <c r="E139" s="1">
        <v>1482</v>
      </c>
      <c r="F139" s="1">
        <v>1963</v>
      </c>
      <c r="G139" s="1">
        <v>45</v>
      </c>
      <c r="H139" s="2">
        <v>17.9</v>
      </c>
      <c r="I139" s="1">
        <v>91</v>
      </c>
      <c r="J139" s="2">
        <v>1.38</v>
      </c>
      <c r="K139" s="13">
        <f t="shared" si="13"/>
        <v>96.26930369230435</v>
      </c>
      <c r="L139" s="34">
        <f t="shared" si="19"/>
        <v>-1.646043969124726</v>
      </c>
      <c r="M139" s="25">
        <f t="shared" si="20"/>
        <v>329.07166666666666</v>
      </c>
      <c r="N139" s="182">
        <f t="shared" si="21"/>
        <v>2312.819201287276</v>
      </c>
      <c r="O139" s="182">
        <f t="shared" si="22"/>
        <v>3124.06906609849</v>
      </c>
      <c r="P139" s="136">
        <f t="shared" si="23"/>
        <v>136.06429379837093</v>
      </c>
      <c r="Q139" s="139" t="s">
        <v>95</v>
      </c>
    </row>
    <row r="140" spans="3:17" ht="12.75">
      <c r="C140" s="3">
        <f t="shared" si="18"/>
        <v>33</v>
      </c>
      <c r="D140" s="1">
        <v>1000</v>
      </c>
      <c r="E140" s="1">
        <v>1436</v>
      </c>
      <c r="F140" s="1">
        <v>1873</v>
      </c>
      <c r="G140" s="1">
        <v>18</v>
      </c>
      <c r="H140" s="2">
        <v>3.5</v>
      </c>
      <c r="I140" s="1">
        <v>91</v>
      </c>
      <c r="J140" s="2">
        <v>10.7</v>
      </c>
      <c r="K140" s="13">
        <f t="shared" si="13"/>
        <v>87.26308149753746</v>
      </c>
      <c r="L140" s="34">
        <f t="shared" si="19"/>
        <v>-1.675887820772327</v>
      </c>
      <c r="M140" s="25">
        <f t="shared" si="20"/>
        <v>301.83166666666665</v>
      </c>
      <c r="N140" s="182">
        <f t="shared" si="21"/>
        <v>2276.2631172674915</v>
      </c>
      <c r="O140" s="182">
        <f t="shared" si="22"/>
        <v>3099.409338615647</v>
      </c>
      <c r="P140" s="136">
        <f t="shared" si="23"/>
        <v>136.03444994672333</v>
      </c>
      <c r="Q140" s="139" t="s">
        <v>95</v>
      </c>
    </row>
    <row r="141" spans="3:17" ht="12.75">
      <c r="C141" s="3">
        <f t="shared" si="18"/>
        <v>34</v>
      </c>
      <c r="D141" s="1">
        <v>1000</v>
      </c>
      <c r="E141" s="1">
        <v>1276</v>
      </c>
      <c r="F141" s="1">
        <v>1553</v>
      </c>
      <c r="G141" s="1">
        <v>18</v>
      </c>
      <c r="H141" s="2">
        <v>1.3</v>
      </c>
      <c r="I141" s="1">
        <v>92</v>
      </c>
      <c r="J141" s="2">
        <v>20.9</v>
      </c>
      <c r="K141" s="13">
        <f t="shared" si="13"/>
        <v>55.207155506134725</v>
      </c>
      <c r="L141" s="34">
        <f t="shared" si="19"/>
        <v>-1.9849965571327197</v>
      </c>
      <c r="M141" s="25">
        <f t="shared" si="20"/>
        <v>301.79499999999996</v>
      </c>
      <c r="N141" s="182">
        <f t="shared" si="21"/>
        <v>2259.325983980572</v>
      </c>
      <c r="O141" s="182">
        <f t="shared" si="22"/>
        <v>3126.625471334516</v>
      </c>
      <c r="P141" s="136">
        <f t="shared" si="23"/>
        <v>135.72534121036293</v>
      </c>
      <c r="Q141" s="139" t="s">
        <v>96</v>
      </c>
    </row>
    <row r="142" spans="3:17" ht="12.75">
      <c r="C142" s="3">
        <f t="shared" si="18"/>
        <v>35</v>
      </c>
      <c r="D142" s="1">
        <v>1000</v>
      </c>
      <c r="E142" s="1">
        <v>1237</v>
      </c>
      <c r="F142" s="1">
        <v>1473</v>
      </c>
      <c r="G142" s="1">
        <v>21</v>
      </c>
      <c r="H142" s="2">
        <v>30.2</v>
      </c>
      <c r="I142" s="1">
        <v>93</v>
      </c>
      <c r="J142" s="2">
        <v>1.93</v>
      </c>
      <c r="K142" s="13">
        <f t="shared" si="13"/>
        <v>47.167652257189445</v>
      </c>
      <c r="L142" s="34">
        <f t="shared" si="19"/>
        <v>-2.180506015584511</v>
      </c>
      <c r="M142" s="25">
        <f t="shared" si="20"/>
        <v>305.27666666666664</v>
      </c>
      <c r="N142" s="182">
        <f t="shared" si="21"/>
        <v>2257.478856364076</v>
      </c>
      <c r="O142" s="182">
        <f t="shared" si="22"/>
        <v>3135.041777198106</v>
      </c>
      <c r="P142" s="136">
        <f t="shared" si="23"/>
        <v>135.52983175191113</v>
      </c>
      <c r="Q142" s="139" t="s">
        <v>87</v>
      </c>
    </row>
    <row r="143" spans="3:17" ht="12.75">
      <c r="C143" s="3">
        <f t="shared" si="18"/>
        <v>36</v>
      </c>
      <c r="D143" s="1">
        <v>1000</v>
      </c>
      <c r="E143" s="1">
        <v>1156</v>
      </c>
      <c r="F143" s="1">
        <v>1313</v>
      </c>
      <c r="G143" s="1">
        <v>21</v>
      </c>
      <c r="H143" s="2">
        <v>30.7</v>
      </c>
      <c r="I143" s="1">
        <v>93</v>
      </c>
      <c r="J143" s="2">
        <v>5.08</v>
      </c>
      <c r="K143" s="13">
        <f t="shared" si="13"/>
        <v>31.209365005186054</v>
      </c>
      <c r="L143" s="34">
        <f t="shared" si="19"/>
        <v>-1.2828622522048836</v>
      </c>
      <c r="M143" s="25">
        <f t="shared" si="20"/>
        <v>305.28499999999997</v>
      </c>
      <c r="N143" s="182">
        <f t="shared" si="21"/>
        <v>2248.266248675374</v>
      </c>
      <c r="O143" s="182">
        <f t="shared" si="22"/>
        <v>3148.0723114439347</v>
      </c>
      <c r="P143" s="136">
        <f t="shared" si="23"/>
        <v>136.42747551529075</v>
      </c>
      <c r="Q143" s="139" t="s">
        <v>97</v>
      </c>
    </row>
    <row r="144" spans="3:17" ht="12.75">
      <c r="C144" s="3">
        <f t="shared" si="18"/>
        <v>37</v>
      </c>
      <c r="D144" s="1">
        <v>1000</v>
      </c>
      <c r="E144" s="1">
        <v>1176</v>
      </c>
      <c r="F144" s="1">
        <v>1353</v>
      </c>
      <c r="G144" s="1">
        <v>331</v>
      </c>
      <c r="H144" s="2">
        <v>58.2</v>
      </c>
      <c r="I144" s="1">
        <v>92</v>
      </c>
      <c r="J144" s="2">
        <v>39.2</v>
      </c>
      <c r="K144" s="13">
        <f t="shared" si="13"/>
        <v>35.22435110521749</v>
      </c>
      <c r="L144" s="34">
        <f t="shared" si="19"/>
        <v>-1.253385748081851</v>
      </c>
      <c r="M144" s="25">
        <f t="shared" si="20"/>
        <v>255.74333333333334</v>
      </c>
      <c r="N144" s="182">
        <f t="shared" si="21"/>
        <v>2221.5637857090283</v>
      </c>
      <c r="O144" s="182">
        <f t="shared" si="22"/>
        <v>3139.4086471880473</v>
      </c>
      <c r="P144" s="136">
        <f t="shared" si="23"/>
        <v>136.4569520194138</v>
      </c>
      <c r="Q144" s="139" t="s">
        <v>98</v>
      </c>
    </row>
    <row r="145" spans="3:17" ht="12.75">
      <c r="C145" s="3">
        <f t="shared" si="18"/>
        <v>38</v>
      </c>
      <c r="D145" s="1">
        <v>1000</v>
      </c>
      <c r="E145" s="1">
        <v>1164</v>
      </c>
      <c r="F145" s="1">
        <v>1328</v>
      </c>
      <c r="G145" s="1">
        <v>324</v>
      </c>
      <c r="H145" s="2">
        <v>16.7</v>
      </c>
      <c r="I145" s="1">
        <v>92</v>
      </c>
      <c r="J145" s="2">
        <v>23.4</v>
      </c>
      <c r="K145" s="13">
        <f t="shared" si="13"/>
        <v>32.74296092491285</v>
      </c>
      <c r="L145" s="34">
        <f t="shared" si="19"/>
        <v>-0.9756119444712954</v>
      </c>
      <c r="M145" s="25">
        <f t="shared" si="20"/>
        <v>248.05166666666662</v>
      </c>
      <c r="N145" s="182">
        <f t="shared" si="21"/>
        <v>2218.000000136262</v>
      </c>
      <c r="O145" s="182">
        <f t="shared" si="22"/>
        <v>3143.178374914529</v>
      </c>
      <c r="P145" s="136">
        <f t="shared" si="23"/>
        <v>136.73472582302435</v>
      </c>
      <c r="Q145" s="139" t="s">
        <v>98</v>
      </c>
    </row>
    <row r="146" spans="3:17" ht="12.75">
      <c r="C146" s="3">
        <f t="shared" si="18"/>
        <v>39</v>
      </c>
      <c r="D146" s="1">
        <v>1000</v>
      </c>
      <c r="E146" s="1">
        <v>1199</v>
      </c>
      <c r="F146" s="1">
        <v>1399</v>
      </c>
      <c r="G146" s="1">
        <v>316</v>
      </c>
      <c r="H146" s="2">
        <v>1.2</v>
      </c>
      <c r="I146" s="1">
        <v>92</v>
      </c>
      <c r="J146" s="2">
        <v>17.1</v>
      </c>
      <c r="K146" s="13">
        <f t="shared" si="13"/>
        <v>39.83657364083857</v>
      </c>
      <c r="L146" s="34">
        <f t="shared" si="19"/>
        <v>-1.2335561731202458</v>
      </c>
      <c r="M146" s="25">
        <f t="shared" si="20"/>
        <v>239.7933333333333</v>
      </c>
      <c r="N146" s="182">
        <f t="shared" si="21"/>
        <v>2210.1957510066763</v>
      </c>
      <c r="O146" s="182">
        <f t="shared" si="22"/>
        <v>3139.1207529885855</v>
      </c>
      <c r="P146" s="136">
        <f t="shared" si="23"/>
        <v>136.4767815943754</v>
      </c>
      <c r="Q146" s="139" t="s">
        <v>98</v>
      </c>
    </row>
    <row r="147" spans="3:17" ht="12.75">
      <c r="C147" s="3">
        <f t="shared" si="18"/>
        <v>40</v>
      </c>
      <c r="D147" s="1">
        <v>1000</v>
      </c>
      <c r="E147" s="1">
        <v>1257</v>
      </c>
      <c r="F147" s="1">
        <v>1513</v>
      </c>
      <c r="G147" s="1">
        <v>334</v>
      </c>
      <c r="H147" s="2">
        <v>30.2</v>
      </c>
      <c r="I147" s="1">
        <v>92</v>
      </c>
      <c r="J147" s="2">
        <v>19.7</v>
      </c>
      <c r="K147" s="13">
        <f t="shared" si="13"/>
        <v>51.21533121299887</v>
      </c>
      <c r="L147" s="34">
        <f t="shared" si="19"/>
        <v>-1.784388044929504</v>
      </c>
      <c r="M147" s="25">
        <f t="shared" si="20"/>
        <v>258.27666666666664</v>
      </c>
      <c r="N147" s="182">
        <f t="shared" si="21"/>
        <v>2219.832106706834</v>
      </c>
      <c r="O147" s="182">
        <f t="shared" si="22"/>
        <v>3123.4011810918037</v>
      </c>
      <c r="P147" s="136">
        <f t="shared" si="23"/>
        <v>135.92594972256614</v>
      </c>
      <c r="Q147" s="139" t="s">
        <v>94</v>
      </c>
    </row>
    <row r="148" spans="3:17" ht="12.75">
      <c r="C148" s="3">
        <f t="shared" si="18"/>
        <v>41</v>
      </c>
      <c r="D148" s="1">
        <v>1000</v>
      </c>
      <c r="E148" s="1">
        <v>1389</v>
      </c>
      <c r="F148" s="1">
        <v>1777</v>
      </c>
      <c r="G148" s="1">
        <v>344</v>
      </c>
      <c r="H148" s="2">
        <v>45.9</v>
      </c>
      <c r="I148" s="1">
        <v>91</v>
      </c>
      <c r="J148" s="2">
        <v>36.1</v>
      </c>
      <c r="K148" s="13">
        <f t="shared" si="13"/>
        <v>77.63929745498326</v>
      </c>
      <c r="L148" s="34">
        <f t="shared" si="19"/>
        <v>-2.00492214250745</v>
      </c>
      <c r="M148" s="25">
        <f t="shared" si="20"/>
        <v>268.5383333333333</v>
      </c>
      <c r="N148" s="182">
        <f t="shared" si="21"/>
        <v>2228.25791489481</v>
      </c>
      <c r="O148" s="182">
        <f t="shared" si="22"/>
        <v>3095.934133181323</v>
      </c>
      <c r="P148" s="136">
        <f t="shared" si="23"/>
        <v>135.7054156249882</v>
      </c>
      <c r="Q148" s="139" t="s">
        <v>87</v>
      </c>
    </row>
    <row r="149" spans="3:17" ht="12.75">
      <c r="C149" s="3">
        <f t="shared" si="18"/>
        <v>42</v>
      </c>
      <c r="D149" s="1">
        <v>1000</v>
      </c>
      <c r="E149" s="1">
        <v>1430</v>
      </c>
      <c r="F149" s="1">
        <v>1859</v>
      </c>
      <c r="G149" s="1">
        <v>330</v>
      </c>
      <c r="H149" s="120">
        <v>1.26</v>
      </c>
      <c r="I149" s="1">
        <v>91</v>
      </c>
      <c r="J149" s="2">
        <v>33.3</v>
      </c>
      <c r="K149" s="13">
        <f t="shared" si="13"/>
        <v>85.83674395229374</v>
      </c>
      <c r="L149" s="34">
        <f t="shared" si="19"/>
        <v>-2.205170202022891</v>
      </c>
      <c r="M149" s="25">
        <f t="shared" si="20"/>
        <v>253.79433333333327</v>
      </c>
      <c r="N149" s="182">
        <f t="shared" si="21"/>
        <v>2206.2825077426937</v>
      </c>
      <c r="O149" s="182">
        <f t="shared" si="22"/>
        <v>3091.1220536142396</v>
      </c>
      <c r="P149" s="136">
        <f t="shared" si="23"/>
        <v>135.50516756547276</v>
      </c>
      <c r="Q149" s="139" t="s">
        <v>88</v>
      </c>
    </row>
    <row r="150" spans="3:17" ht="12.75">
      <c r="C150" s="3">
        <f t="shared" si="18"/>
        <v>43</v>
      </c>
      <c r="D150" s="1">
        <v>1000</v>
      </c>
      <c r="E150" s="1">
        <v>1307</v>
      </c>
      <c r="F150" s="1">
        <v>1614</v>
      </c>
      <c r="G150" s="1">
        <v>295</v>
      </c>
      <c r="H150" s="2">
        <v>31.3</v>
      </c>
      <c r="I150" s="1">
        <v>91</v>
      </c>
      <c r="J150" s="2">
        <v>42.7</v>
      </c>
      <c r="K150" s="13">
        <f t="shared" si="13"/>
        <v>61.34521870547091</v>
      </c>
      <c r="L150" s="34">
        <f t="shared" si="19"/>
        <v>-1.5851858863342505</v>
      </c>
      <c r="M150" s="25">
        <f t="shared" si="20"/>
        <v>219.29499999999996</v>
      </c>
      <c r="N150" s="182">
        <f t="shared" si="21"/>
        <v>2182.7635606440726</v>
      </c>
      <c r="O150" s="182">
        <f t="shared" si="22"/>
        <v>3134.69742260715</v>
      </c>
      <c r="P150" s="136">
        <f t="shared" si="23"/>
        <v>136.1251518811614</v>
      </c>
      <c r="Q150" s="139" t="s">
        <v>94</v>
      </c>
    </row>
    <row r="151" spans="3:17" ht="12.75">
      <c r="C151" s="3">
        <f t="shared" si="18"/>
        <v>44</v>
      </c>
      <c r="D151" s="1">
        <v>1000</v>
      </c>
      <c r="E151" s="1">
        <v>1342</v>
      </c>
      <c r="F151" s="1">
        <v>1684</v>
      </c>
      <c r="G151" s="1">
        <v>254</v>
      </c>
      <c r="H151" s="2">
        <v>37.8</v>
      </c>
      <c r="I151" s="1">
        <v>90</v>
      </c>
      <c r="J151" s="2">
        <v>59.8</v>
      </c>
      <c r="K151" s="13">
        <f t="shared" si="13"/>
        <v>68.379304930021</v>
      </c>
      <c r="L151" s="34">
        <f t="shared" si="19"/>
        <v>-0.9765858525733284</v>
      </c>
      <c r="M151" s="25">
        <f t="shared" si="20"/>
        <v>178.4033333333333</v>
      </c>
      <c r="N151" s="182">
        <f t="shared" si="21"/>
        <v>2161.885592272536</v>
      </c>
      <c r="O151" s="182">
        <f t="shared" si="22"/>
        <v>3175.4534536030346</v>
      </c>
      <c r="P151" s="136">
        <f t="shared" si="23"/>
        <v>136.73375191492232</v>
      </c>
      <c r="Q151" s="139" t="s">
        <v>94</v>
      </c>
    </row>
    <row r="152" spans="3:17" ht="12.75">
      <c r="C152" s="3">
        <f t="shared" si="18"/>
        <v>45</v>
      </c>
      <c r="D152" s="1">
        <v>1000</v>
      </c>
      <c r="E152" s="1">
        <v>1507</v>
      </c>
      <c r="F152" s="1">
        <v>2014</v>
      </c>
      <c r="G152" s="1">
        <v>222</v>
      </c>
      <c r="H152" s="2">
        <v>11.4</v>
      </c>
      <c r="I152" s="1">
        <v>89</v>
      </c>
      <c r="J152" s="2">
        <v>37.4</v>
      </c>
      <c r="K152" s="13">
        <f t="shared" si="13"/>
        <v>101.39561771305361</v>
      </c>
      <c r="L152" s="34">
        <f t="shared" si="19"/>
        <v>0.714591848078336</v>
      </c>
      <c r="M152" s="25">
        <f t="shared" si="20"/>
        <v>145.9633333333333</v>
      </c>
      <c r="N152" s="182">
        <f t="shared" si="21"/>
        <v>2146.213873744342</v>
      </c>
      <c r="O152" s="182">
        <f t="shared" si="22"/>
        <v>3230.301661242897</v>
      </c>
      <c r="P152" s="136">
        <f t="shared" si="23"/>
        <v>138.42492961557397</v>
      </c>
      <c r="Q152" s="139" t="s">
        <v>94</v>
      </c>
    </row>
    <row r="153" spans="3:17" ht="12.75">
      <c r="C153" s="3">
        <f t="shared" si="18"/>
        <v>46</v>
      </c>
      <c r="D153" s="1">
        <v>1000</v>
      </c>
      <c r="E153" s="1">
        <v>1306</v>
      </c>
      <c r="F153" s="1">
        <v>1613</v>
      </c>
      <c r="G153" s="1">
        <v>185</v>
      </c>
      <c r="H153" s="2">
        <v>47.2</v>
      </c>
      <c r="I153" s="1">
        <v>87</v>
      </c>
      <c r="J153" s="2">
        <v>54</v>
      </c>
      <c r="K153" s="13">
        <f t="shared" si="13"/>
        <v>61.21768872692964</v>
      </c>
      <c r="L153" s="34">
        <f t="shared" si="19"/>
        <v>2.493750741961911</v>
      </c>
      <c r="M153" s="25">
        <f t="shared" si="20"/>
        <v>109.56</v>
      </c>
      <c r="N153" s="182">
        <f t="shared" si="21"/>
        <v>2209.7430449819435</v>
      </c>
      <c r="O153" s="182">
        <f t="shared" si="22"/>
        <v>3231.233070338263</v>
      </c>
      <c r="P153" s="136">
        <f t="shared" si="23"/>
        <v>140.20408850945756</v>
      </c>
      <c r="Q153" s="139" t="s">
        <v>94</v>
      </c>
    </row>
    <row r="154" spans="3:17" ht="12.75">
      <c r="C154" s="3">
        <f t="shared" si="18"/>
        <v>47</v>
      </c>
      <c r="D154" s="1">
        <v>1000</v>
      </c>
      <c r="E154" s="1">
        <v>1521</v>
      </c>
      <c r="F154" s="1">
        <v>2042</v>
      </c>
      <c r="G154" s="1">
        <v>174</v>
      </c>
      <c r="H154" s="2">
        <v>57.8</v>
      </c>
      <c r="I154" s="1">
        <v>86</v>
      </c>
      <c r="J154" s="2">
        <v>52.2</v>
      </c>
      <c r="K154" s="13">
        <f t="shared" si="13"/>
        <v>103.88934448807603</v>
      </c>
      <c r="L154" s="34">
        <f t="shared" si="19"/>
        <v>5.715003212055755</v>
      </c>
      <c r="M154" s="25">
        <f t="shared" si="20"/>
        <v>98.73666666666662</v>
      </c>
      <c r="N154" s="182">
        <f t="shared" si="21"/>
        <v>2214.458244430254</v>
      </c>
      <c r="O154" s="182">
        <f t="shared" si="22"/>
        <v>3276.2320723704847</v>
      </c>
      <c r="P154" s="136">
        <f t="shared" si="23"/>
        <v>143.4253409795514</v>
      </c>
      <c r="Q154" s="139" t="s">
        <v>99</v>
      </c>
    </row>
    <row r="155" spans="3:17" ht="12.75">
      <c r="C155" s="3">
        <f t="shared" si="18"/>
        <v>48</v>
      </c>
      <c r="D155" s="1">
        <v>1000</v>
      </c>
      <c r="E155" s="1">
        <v>1301</v>
      </c>
      <c r="F155" s="1">
        <v>1603</v>
      </c>
      <c r="G155" s="1">
        <v>142</v>
      </c>
      <c r="H155" s="2">
        <v>20.3</v>
      </c>
      <c r="I155" s="1">
        <v>89</v>
      </c>
      <c r="J155" s="120">
        <v>9.75</v>
      </c>
      <c r="K155" s="13">
        <f t="shared" si="13"/>
        <v>60.28711718566119</v>
      </c>
      <c r="L155" s="34">
        <f t="shared" si="19"/>
        <v>1.1352875454269706</v>
      </c>
      <c r="M155" s="25">
        <f t="shared" si="20"/>
        <v>66.11166666666662</v>
      </c>
      <c r="N155" s="182">
        <f t="shared" si="21"/>
        <v>2254.6519427439175</v>
      </c>
      <c r="O155" s="182">
        <f t="shared" si="22"/>
        <v>3228.670875571664</v>
      </c>
      <c r="P155" s="136">
        <f t="shared" si="23"/>
        <v>138.8456253129226</v>
      </c>
      <c r="Q155" s="139" t="s">
        <v>94</v>
      </c>
    </row>
    <row r="156" spans="3:17" ht="12.75">
      <c r="C156" s="3">
        <f t="shared" si="18"/>
        <v>49</v>
      </c>
      <c r="D156" s="1">
        <v>1000</v>
      </c>
      <c r="E156" s="1">
        <v>1137</v>
      </c>
      <c r="F156" s="1">
        <v>1274</v>
      </c>
      <c r="G156" s="1">
        <v>190</v>
      </c>
      <c r="H156" s="2">
        <v>58.2</v>
      </c>
      <c r="I156" s="1">
        <v>89</v>
      </c>
      <c r="J156" s="2">
        <v>30.3</v>
      </c>
      <c r="K156" s="13">
        <f t="shared" si="13"/>
        <v>27.397954945478993</v>
      </c>
      <c r="L156" s="34">
        <f t="shared" si="19"/>
        <v>0.6547072276622945</v>
      </c>
      <c r="M156" s="25">
        <f t="shared" si="20"/>
        <v>114.74333333333334</v>
      </c>
      <c r="N156" s="182">
        <f>$L$84+K156*COS(M156*PI()/180)</f>
        <v>2218.7708226185487</v>
      </c>
      <c r="O156" s="182">
        <f t="shared" si="22"/>
        <v>3198.4307681896394</v>
      </c>
      <c r="P156" s="136">
        <f t="shared" si="23"/>
        <v>138.36504499515794</v>
      </c>
      <c r="Q156" s="139" t="s">
        <v>94</v>
      </c>
    </row>
    <row r="157" spans="3:17" ht="12.75">
      <c r="C157" s="10"/>
      <c r="D157" s="11"/>
      <c r="E157" s="11"/>
      <c r="F157" s="33"/>
      <c r="G157" s="33"/>
      <c r="H157" s="33"/>
      <c r="I157" s="33"/>
      <c r="J157" s="33"/>
      <c r="K157" s="78"/>
      <c r="L157" s="79"/>
      <c r="M157" s="80"/>
      <c r="N157" s="184"/>
      <c r="O157" s="184"/>
      <c r="P157" s="84"/>
      <c r="Q157" s="145"/>
    </row>
    <row r="158" spans="3:17" ht="12.75">
      <c r="C158" s="10"/>
      <c r="D158" s="11"/>
      <c r="E158" s="11"/>
      <c r="F158" s="33"/>
      <c r="G158" s="33"/>
      <c r="H158" s="33"/>
      <c r="I158" s="33"/>
      <c r="J158" s="33"/>
      <c r="K158" s="78"/>
      <c r="L158" s="79"/>
      <c r="M158" s="80"/>
      <c r="N158" s="184"/>
      <c r="O158" s="184"/>
      <c r="P158" s="33"/>
      <c r="Q158" s="144"/>
    </row>
    <row r="159" spans="3:18" ht="12.75">
      <c r="C159" s="12" t="s">
        <v>80</v>
      </c>
      <c r="D159" s="11" t="s">
        <v>1</v>
      </c>
      <c r="E159" s="51">
        <v>1535</v>
      </c>
      <c r="F159" s="33"/>
      <c r="G159" s="33"/>
      <c r="H159" s="33"/>
      <c r="I159" s="33"/>
      <c r="J159" s="33"/>
      <c r="K159" s="78"/>
      <c r="L159" s="79"/>
      <c r="M159" s="80"/>
      <c r="N159" s="184"/>
      <c r="O159" s="184"/>
      <c r="P159" s="33"/>
      <c r="Q159" s="144"/>
      <c r="R159" s="33"/>
    </row>
    <row r="160" spans="3:17" ht="12.75">
      <c r="C160" s="10"/>
      <c r="D160" s="11"/>
      <c r="E160" s="11"/>
      <c r="F160" s="83"/>
      <c r="G160" s="83"/>
      <c r="H160" s="83"/>
      <c r="I160" s="83"/>
      <c r="J160" s="83"/>
      <c r="K160" s="90"/>
      <c r="L160" s="86"/>
      <c r="M160" s="88" t="s">
        <v>71</v>
      </c>
      <c r="N160" s="99"/>
      <c r="O160" s="99"/>
      <c r="P160" s="83"/>
      <c r="Q160" s="143"/>
    </row>
    <row r="161" spans="3:17" ht="12.75">
      <c r="C161" s="3">
        <v>50</v>
      </c>
      <c r="D161" s="1">
        <v>1000</v>
      </c>
      <c r="E161" s="1">
        <v>1167</v>
      </c>
      <c r="F161" s="5">
        <v>1333</v>
      </c>
      <c r="G161" s="5">
        <v>160</v>
      </c>
      <c r="H161" s="8">
        <v>2.3</v>
      </c>
      <c r="I161" s="5">
        <v>94</v>
      </c>
      <c r="J161" s="8">
        <v>14.4</v>
      </c>
      <c r="K161" s="92">
        <f t="shared" si="13"/>
        <v>33.11797218210077</v>
      </c>
      <c r="L161" s="77">
        <f>$E$159/1000-E161/1000+K161*TAN((90-I161-J161/60)*PI()/180)</f>
        <v>-2.08727843829478</v>
      </c>
      <c r="M161" s="93">
        <f>IF($G$66+G161+H161/60&lt;360,$G$66+G161+H161/60,$G$66+G161+H161/60-360)</f>
        <v>2.535000000000025</v>
      </c>
      <c r="N161" s="181">
        <f>$L$85+K161*COS(M161*PI()/180)</f>
        <v>2302.2676114261412</v>
      </c>
      <c r="O161" s="181">
        <f>M$85+K161*SIN(M161*PI()/180)</f>
        <v>3016.229034510851</v>
      </c>
      <c r="P161" s="135">
        <f>N$85+L161</f>
        <v>137.44559316378732</v>
      </c>
      <c r="Q161" s="139" t="s">
        <v>95</v>
      </c>
    </row>
    <row r="162" spans="2:18" s="4" customFormat="1" ht="12.75">
      <c r="B162" s="16"/>
      <c r="C162" s="3">
        <f aca="true" t="shared" si="24" ref="C162:C177">1+C161</f>
        <v>51</v>
      </c>
      <c r="D162" s="1">
        <v>1000</v>
      </c>
      <c r="E162" s="1">
        <v>1327</v>
      </c>
      <c r="F162" s="1">
        <v>1654</v>
      </c>
      <c r="G162" s="1">
        <v>154</v>
      </c>
      <c r="H162" s="2">
        <v>37.8</v>
      </c>
      <c r="I162" s="1">
        <v>92</v>
      </c>
      <c r="J162" s="2">
        <v>49.8</v>
      </c>
      <c r="K162" s="13">
        <f t="shared" si="13"/>
        <v>65.24057656944971</v>
      </c>
      <c r="L162" s="34">
        <f aca="true" t="shared" si="25" ref="L162:L177">$E$159/1000-E162/1000+K162*TAN((90-I162-J162/60)*PI()/180)</f>
        <v>-3.017038996319423</v>
      </c>
      <c r="M162" s="25">
        <f aca="true" t="shared" si="26" ref="M162:M177">IF($G$66+G162+H162/60&lt;360,$G$66+G162+H162/60,$G$66+G162+H162/60-360)</f>
        <v>357.12666666666667</v>
      </c>
      <c r="N162" s="182">
        <f aca="true" t="shared" si="27" ref="N162:N176">$L$85+K162*COS(M162*PI()/180)</f>
        <v>2334.3406046935806</v>
      </c>
      <c r="O162" s="182">
        <f aca="true" t="shared" si="28" ref="O162:O177">M$85+K162*SIN(M162*PI()/180)</f>
        <v>3011.4938509940653</v>
      </c>
      <c r="P162" s="136">
        <f aca="true" t="shared" si="29" ref="P162:P177">N$85+L162</f>
        <v>136.51583260576268</v>
      </c>
      <c r="Q162" s="139" t="s">
        <v>100</v>
      </c>
      <c r="R162"/>
    </row>
    <row r="163" spans="3:17" ht="12.75">
      <c r="C163" s="3">
        <f t="shared" si="24"/>
        <v>52</v>
      </c>
      <c r="D163" s="1">
        <v>1000</v>
      </c>
      <c r="E163" s="1">
        <v>1474</v>
      </c>
      <c r="F163" s="1">
        <v>1949</v>
      </c>
      <c r="G163" s="1">
        <v>173</v>
      </c>
      <c r="H163" s="2">
        <v>27.8</v>
      </c>
      <c r="I163" s="1">
        <v>90</v>
      </c>
      <c r="J163" s="2">
        <v>44.2</v>
      </c>
      <c r="K163" s="13">
        <f t="shared" si="13"/>
        <v>94.88431303041662</v>
      </c>
      <c r="L163" s="34">
        <f t="shared" si="25"/>
        <v>-1.1590193983892547</v>
      </c>
      <c r="M163" s="25">
        <f t="shared" si="26"/>
        <v>15.95999999999998</v>
      </c>
      <c r="N163" s="182">
        <f t="shared" si="27"/>
        <v>2360.408940968556</v>
      </c>
      <c r="O163" s="182">
        <f t="shared" si="28"/>
        <v>3040.854216891367</v>
      </c>
      <c r="P163" s="136">
        <f t="shared" si="29"/>
        <v>138.37385220369285</v>
      </c>
      <c r="Q163" s="139" t="s">
        <v>95</v>
      </c>
    </row>
    <row r="164" spans="3:17" ht="12.75">
      <c r="C164" s="3">
        <f t="shared" si="24"/>
        <v>53</v>
      </c>
      <c r="D164" s="1">
        <v>1000</v>
      </c>
      <c r="E164" s="1">
        <v>1464</v>
      </c>
      <c r="F164" s="1">
        <v>1929</v>
      </c>
      <c r="G164" s="1">
        <v>192</v>
      </c>
      <c r="H164" s="2">
        <v>32.1</v>
      </c>
      <c r="I164" s="1">
        <v>90</v>
      </c>
      <c r="J164" s="2">
        <v>11</v>
      </c>
      <c r="K164" s="13">
        <f t="shared" si="13"/>
        <v>92.89904884381446</v>
      </c>
      <c r="L164" s="34">
        <f t="shared" si="25"/>
        <v>-0.22625663144519187</v>
      </c>
      <c r="M164" s="25">
        <f t="shared" si="26"/>
        <v>35.031666666666695</v>
      </c>
      <c r="N164" s="182">
        <f t="shared" si="27"/>
        <v>2345.2510331915505</v>
      </c>
      <c r="O164" s="182">
        <f t="shared" si="28"/>
        <v>3068.090993664287</v>
      </c>
      <c r="P164" s="136">
        <f t="shared" si="29"/>
        <v>139.30661497063693</v>
      </c>
      <c r="Q164" s="139" t="s">
        <v>101</v>
      </c>
    </row>
    <row r="165" spans="3:17" ht="12.75">
      <c r="C165" s="3">
        <f t="shared" si="24"/>
        <v>54</v>
      </c>
      <c r="D165" s="1">
        <v>1000</v>
      </c>
      <c r="E165" s="1">
        <v>1341</v>
      </c>
      <c r="F165" s="1">
        <v>1683</v>
      </c>
      <c r="G165" s="1">
        <v>206</v>
      </c>
      <c r="H165" s="2">
        <v>32.1</v>
      </c>
      <c r="I165" s="1">
        <v>90</v>
      </c>
      <c r="J165" s="2">
        <v>40.4</v>
      </c>
      <c r="K165" s="13">
        <f t="shared" si="13"/>
        <v>68.29056774191872</v>
      </c>
      <c r="L165" s="34">
        <f t="shared" si="25"/>
        <v>-0.6085797527084724</v>
      </c>
      <c r="M165" s="25">
        <f t="shared" si="26"/>
        <v>49.031666666666695</v>
      </c>
      <c r="N165" s="182">
        <f t="shared" si="27"/>
        <v>2313.9562002885245</v>
      </c>
      <c r="O165" s="182">
        <f t="shared" si="28"/>
        <v>3066.328537467447</v>
      </c>
      <c r="P165" s="136">
        <f t="shared" si="29"/>
        <v>138.92429184937365</v>
      </c>
      <c r="Q165" s="139" t="s">
        <v>95</v>
      </c>
    </row>
    <row r="166" spans="3:17" ht="12.75">
      <c r="C166" s="3">
        <f t="shared" si="24"/>
        <v>55</v>
      </c>
      <c r="D166" s="1">
        <v>1000</v>
      </c>
      <c r="E166" s="1">
        <v>1272</v>
      </c>
      <c r="F166" s="1">
        <v>1543</v>
      </c>
      <c r="G166" s="1">
        <v>254</v>
      </c>
      <c r="H166" s="2">
        <v>5.7</v>
      </c>
      <c r="I166" s="1">
        <v>92</v>
      </c>
      <c r="J166" s="2">
        <v>52.3</v>
      </c>
      <c r="K166" s="13">
        <f t="shared" si="13"/>
        <v>54.16371158634029</v>
      </c>
      <c r="L166" s="34">
        <f t="shared" si="25"/>
        <v>-2.4539627030977287</v>
      </c>
      <c r="M166" s="25">
        <f t="shared" si="26"/>
        <v>96.5916666666667</v>
      </c>
      <c r="N166" s="182">
        <f t="shared" si="27"/>
        <v>2262.9644518160408</v>
      </c>
      <c r="O166" s="182">
        <f t="shared" si="28"/>
        <v>3068.569898617004</v>
      </c>
      <c r="P166" s="136">
        <f t="shared" si="29"/>
        <v>137.0789088989844</v>
      </c>
      <c r="Q166" s="139" t="s">
        <v>95</v>
      </c>
    </row>
    <row r="167" spans="3:17" ht="12.75">
      <c r="C167" s="3">
        <f t="shared" si="24"/>
        <v>56</v>
      </c>
      <c r="D167" s="1">
        <v>1000</v>
      </c>
      <c r="E167" s="1">
        <v>1227</v>
      </c>
      <c r="F167" s="1">
        <v>1453</v>
      </c>
      <c r="G167" s="1">
        <v>275</v>
      </c>
      <c r="H167" s="2">
        <v>3.7</v>
      </c>
      <c r="I167" s="1">
        <v>94</v>
      </c>
      <c r="J167" s="2">
        <v>9.2</v>
      </c>
      <c r="K167" s="13">
        <f t="shared" si="13"/>
        <v>45.062378527553385</v>
      </c>
      <c r="L167" s="34">
        <f t="shared" si="25"/>
        <v>-2.964275773473824</v>
      </c>
      <c r="M167" s="25">
        <f t="shared" si="26"/>
        <v>117.55833333333334</v>
      </c>
      <c r="N167" s="182">
        <f t="shared" si="27"/>
        <v>2248.33387419366</v>
      </c>
      <c r="O167" s="182">
        <f t="shared" si="28"/>
        <v>3054.7138506839324</v>
      </c>
      <c r="P167" s="136">
        <f t="shared" si="29"/>
        <v>136.5685958286083</v>
      </c>
      <c r="Q167" s="139" t="s">
        <v>95</v>
      </c>
    </row>
    <row r="168" spans="3:17" ht="12.75">
      <c r="C168" s="3">
        <f t="shared" si="24"/>
        <v>57</v>
      </c>
      <c r="D168" s="1">
        <v>1000</v>
      </c>
      <c r="E168" s="1">
        <v>1364</v>
      </c>
      <c r="F168" s="1">
        <v>1727</v>
      </c>
      <c r="G168" s="1">
        <v>298</v>
      </c>
      <c r="H168" s="2">
        <v>35.1</v>
      </c>
      <c r="I168" s="1">
        <v>93</v>
      </c>
      <c r="J168" s="2">
        <v>15</v>
      </c>
      <c r="K168" s="13">
        <f t="shared" si="13"/>
        <v>72.46633695384395</v>
      </c>
      <c r="L168" s="34">
        <f t="shared" si="25"/>
        <v>-3.9439368204634095</v>
      </c>
      <c r="M168" s="25">
        <f t="shared" si="26"/>
        <v>141.08166666666665</v>
      </c>
      <c r="N168" s="182">
        <f t="shared" si="27"/>
        <v>2212.8001824223707</v>
      </c>
      <c r="O168" s="182">
        <f t="shared" si="28"/>
        <v>3060.288463523886</v>
      </c>
      <c r="P168" s="136">
        <f t="shared" si="29"/>
        <v>135.5889347816187</v>
      </c>
      <c r="Q168" s="139" t="s">
        <v>102</v>
      </c>
    </row>
    <row r="169" spans="3:17" ht="12.75">
      <c r="C169" s="3">
        <f t="shared" si="24"/>
        <v>58</v>
      </c>
      <c r="D169" s="1">
        <v>1000</v>
      </c>
      <c r="E169" s="1">
        <v>1342</v>
      </c>
      <c r="F169" s="1">
        <v>1684</v>
      </c>
      <c r="G169" s="1">
        <v>318</v>
      </c>
      <c r="H169" s="120">
        <v>2.61</v>
      </c>
      <c r="I169" s="1">
        <v>93</v>
      </c>
      <c r="J169" s="2">
        <v>32.4</v>
      </c>
      <c r="K169" s="13">
        <f t="shared" si="13"/>
        <v>68.1392257689146</v>
      </c>
      <c r="L169" s="34">
        <f t="shared" si="25"/>
        <v>-4.022323736872738</v>
      </c>
      <c r="M169" s="25">
        <f t="shared" si="26"/>
        <v>160.54016666666666</v>
      </c>
      <c r="N169" s="182">
        <f t="shared" si="27"/>
        <v>2204.9352578324697</v>
      </c>
      <c r="O169" s="182">
        <f t="shared" si="28"/>
        <v>3037.4645446799113</v>
      </c>
      <c r="P169" s="136">
        <f t="shared" si="29"/>
        <v>135.51054786520936</v>
      </c>
      <c r="Q169" s="139" t="s">
        <v>86</v>
      </c>
    </row>
    <row r="170" spans="3:17" ht="12.75">
      <c r="C170" s="3">
        <f t="shared" si="24"/>
        <v>59</v>
      </c>
      <c r="D170" s="1">
        <v>1000</v>
      </c>
      <c r="E170" s="1">
        <v>1322</v>
      </c>
      <c r="F170" s="1">
        <v>1644</v>
      </c>
      <c r="G170" s="1">
        <v>318</v>
      </c>
      <c r="H170" s="120">
        <v>2.61</v>
      </c>
      <c r="I170" s="1">
        <v>93</v>
      </c>
      <c r="J170" s="2">
        <v>37.6</v>
      </c>
      <c r="K170" s="13">
        <f aca="true" t="shared" si="30" ref="K170:K201">(100*(F170-D170)*(COS((90-I170-J170/60)*PI()/180))^2)/1000</f>
        <v>64.14232291456905</v>
      </c>
      <c r="L170" s="34">
        <f t="shared" si="25"/>
        <v>-3.852465142071382</v>
      </c>
      <c r="M170" s="25">
        <f t="shared" si="26"/>
        <v>160.54016666666666</v>
      </c>
      <c r="N170" s="182">
        <f t="shared" si="27"/>
        <v>2208.703838696795</v>
      </c>
      <c r="O170" s="182">
        <f t="shared" si="28"/>
        <v>3036.132992692148</v>
      </c>
      <c r="P170" s="136">
        <f t="shared" si="29"/>
        <v>135.68040646001072</v>
      </c>
      <c r="Q170" s="139" t="s">
        <v>86</v>
      </c>
    </row>
    <row r="171" spans="3:17" ht="12.75">
      <c r="C171" s="3">
        <f t="shared" si="24"/>
        <v>60</v>
      </c>
      <c r="D171" s="1">
        <v>1000</v>
      </c>
      <c r="E171" s="1">
        <v>1166</v>
      </c>
      <c r="F171" s="1">
        <v>1332</v>
      </c>
      <c r="G171" s="1">
        <v>310</v>
      </c>
      <c r="H171" s="2">
        <v>10.5</v>
      </c>
      <c r="I171" s="1">
        <v>94</v>
      </c>
      <c r="J171" s="2">
        <v>31.4</v>
      </c>
      <c r="K171" s="13">
        <f t="shared" si="30"/>
        <v>32.993505946101884</v>
      </c>
      <c r="L171" s="34">
        <f t="shared" si="25"/>
        <v>-2.241165281188575</v>
      </c>
      <c r="M171" s="25">
        <f t="shared" si="26"/>
        <v>152.67166666666662</v>
      </c>
      <c r="N171" s="182">
        <f t="shared" si="27"/>
        <v>2239.8709376211323</v>
      </c>
      <c r="O171" s="182">
        <f t="shared" si="28"/>
        <v>3029.9111910521337</v>
      </c>
      <c r="P171" s="136">
        <f t="shared" si="29"/>
        <v>137.29170632089352</v>
      </c>
      <c r="Q171" s="139" t="s">
        <v>95</v>
      </c>
    </row>
    <row r="172" spans="3:17" ht="12.75">
      <c r="C172" s="3">
        <f t="shared" si="24"/>
        <v>61</v>
      </c>
      <c r="D172" s="1">
        <v>1000</v>
      </c>
      <c r="E172" s="1">
        <v>1129</v>
      </c>
      <c r="F172" s="1">
        <v>1258</v>
      </c>
      <c r="G172" s="1">
        <v>206</v>
      </c>
      <c r="H172" s="2">
        <v>3.5</v>
      </c>
      <c r="I172" s="1">
        <v>96</v>
      </c>
      <c r="J172" s="2">
        <v>47.2</v>
      </c>
      <c r="K172" s="13">
        <f t="shared" si="30"/>
        <v>25.43970732681403</v>
      </c>
      <c r="L172" s="34">
        <f t="shared" si="25"/>
        <v>-2.621497342335169</v>
      </c>
      <c r="M172" s="25">
        <f t="shared" si="26"/>
        <v>48.55500000000001</v>
      </c>
      <c r="N172" s="182">
        <f t="shared" si="27"/>
        <v>2286.020611394523</v>
      </c>
      <c r="O172" s="182">
        <f t="shared" si="28"/>
        <v>3033.8336247421025</v>
      </c>
      <c r="P172" s="136">
        <f t="shared" si="29"/>
        <v>136.91137425974694</v>
      </c>
      <c r="Q172" s="139" t="s">
        <v>95</v>
      </c>
    </row>
    <row r="173" spans="3:17" ht="12.75">
      <c r="C173" s="3">
        <f t="shared" si="24"/>
        <v>62</v>
      </c>
      <c r="D173" s="1">
        <v>1000</v>
      </c>
      <c r="E173" s="1">
        <v>1187</v>
      </c>
      <c r="F173" s="1">
        <v>1373</v>
      </c>
      <c r="G173" s="1">
        <v>108</v>
      </c>
      <c r="H173" s="2">
        <v>11.2</v>
      </c>
      <c r="I173" s="1">
        <v>96</v>
      </c>
      <c r="J173" s="2">
        <v>21.1</v>
      </c>
      <c r="K173" s="13">
        <f t="shared" si="30"/>
        <v>36.84348067780704</v>
      </c>
      <c r="L173" s="34">
        <f t="shared" si="25"/>
        <v>-3.753190171921098</v>
      </c>
      <c r="M173" s="25">
        <f t="shared" si="26"/>
        <v>310.68333333333334</v>
      </c>
      <c r="N173" s="182">
        <f t="shared" si="27"/>
        <v>2293.199497581757</v>
      </c>
      <c r="O173" s="182">
        <f t="shared" si="28"/>
        <v>2986.824942419891</v>
      </c>
      <c r="P173" s="136">
        <f t="shared" si="29"/>
        <v>135.77968143016102</v>
      </c>
      <c r="Q173" s="139" t="s">
        <v>95</v>
      </c>
    </row>
    <row r="174" spans="3:17" ht="12.75">
      <c r="C174" s="3">
        <f t="shared" si="24"/>
        <v>63</v>
      </c>
      <c r="D174" s="1">
        <v>1000</v>
      </c>
      <c r="E174" s="1">
        <v>1264</v>
      </c>
      <c r="F174" s="1">
        <v>1528</v>
      </c>
      <c r="G174" s="1">
        <v>53</v>
      </c>
      <c r="H174" s="2">
        <v>37.2</v>
      </c>
      <c r="I174" s="1">
        <v>93</v>
      </c>
      <c r="J174" s="2">
        <v>37</v>
      </c>
      <c r="K174" s="13">
        <f t="shared" si="30"/>
        <v>52.58989870204076</v>
      </c>
      <c r="L174" s="34">
        <f t="shared" si="25"/>
        <v>-3.0530345932079412</v>
      </c>
      <c r="M174" s="25">
        <f t="shared" si="26"/>
        <v>256.1166666666667</v>
      </c>
      <c r="N174" s="182">
        <f t="shared" si="27"/>
        <v>2256.5633307591174</v>
      </c>
      <c r="O174" s="182">
        <f t="shared" si="28"/>
        <v>2963.7106835305544</v>
      </c>
      <c r="P174" s="136">
        <f t="shared" si="29"/>
        <v>136.47983700887417</v>
      </c>
      <c r="Q174" s="139" t="s">
        <v>103</v>
      </c>
    </row>
    <row r="175" spans="1:17" ht="12.75">
      <c r="A175" s="147"/>
      <c r="C175" s="3">
        <f>1+C174</f>
        <v>64</v>
      </c>
      <c r="D175" s="1">
        <v>1000</v>
      </c>
      <c r="E175" s="1">
        <v>1177</v>
      </c>
      <c r="F175" s="1">
        <v>1354</v>
      </c>
      <c r="G175" s="1">
        <v>28</v>
      </c>
      <c r="H175" s="2">
        <v>5.7</v>
      </c>
      <c r="I175" s="1">
        <v>96</v>
      </c>
      <c r="J175" s="2">
        <v>19.2</v>
      </c>
      <c r="K175" s="13">
        <f t="shared" si="30"/>
        <v>34.97102689602776</v>
      </c>
      <c r="L175" s="34">
        <f t="shared" si="25"/>
        <v>-3.515193766994604</v>
      </c>
      <c r="M175" s="25">
        <f t="shared" si="26"/>
        <v>230.59166666666667</v>
      </c>
      <c r="N175" s="182">
        <f t="shared" si="27"/>
        <v>2246.9809408436863</v>
      </c>
      <c r="O175" s="182">
        <f t="shared" si="28"/>
        <v>2987.744179913596</v>
      </c>
      <c r="P175" s="136">
        <f t="shared" si="29"/>
        <v>136.0176778350875</v>
      </c>
      <c r="Q175" s="139" t="s">
        <v>103</v>
      </c>
    </row>
    <row r="176" spans="1:17" ht="12.75">
      <c r="A176" s="147"/>
      <c r="C176" s="3">
        <f t="shared" si="24"/>
        <v>65</v>
      </c>
      <c r="D176" s="1">
        <v>1000</v>
      </c>
      <c r="E176" s="1">
        <v>1134</v>
      </c>
      <c r="F176" s="1">
        <v>1268</v>
      </c>
      <c r="G176" s="1">
        <v>33</v>
      </c>
      <c r="H176" s="2">
        <v>21.2</v>
      </c>
      <c r="I176" s="1">
        <v>99</v>
      </c>
      <c r="J176" s="120">
        <v>8.65</v>
      </c>
      <c r="K176" s="13">
        <f t="shared" si="30"/>
        <v>26.123157874925354</v>
      </c>
      <c r="L176" s="34">
        <f t="shared" si="25"/>
        <v>-3.8039082855307287</v>
      </c>
      <c r="M176" s="25">
        <f t="shared" si="26"/>
        <v>235.85</v>
      </c>
      <c r="N176" s="182">
        <f t="shared" si="27"/>
        <v>2254.5175163595336</v>
      </c>
      <c r="O176" s="182">
        <f t="shared" si="28"/>
        <v>2993.145475895374</v>
      </c>
      <c r="P176" s="136">
        <f>N$85+L176</f>
        <v>135.7289633165514</v>
      </c>
      <c r="Q176" s="139" t="s">
        <v>100</v>
      </c>
    </row>
    <row r="177" spans="3:17" ht="12.75">
      <c r="C177" s="3">
        <f t="shared" si="24"/>
        <v>66</v>
      </c>
      <c r="D177" s="1">
        <v>1000</v>
      </c>
      <c r="E177" s="1">
        <v>1277</v>
      </c>
      <c r="F177" s="1">
        <v>1554</v>
      </c>
      <c r="G177" s="1">
        <v>352</v>
      </c>
      <c r="H177" s="2">
        <v>11.2</v>
      </c>
      <c r="I177" s="1">
        <v>94</v>
      </c>
      <c r="J177" s="2">
        <v>25.5</v>
      </c>
      <c r="K177" s="13">
        <f t="shared" si="30"/>
        <v>55.07021764574648</v>
      </c>
      <c r="L177" s="34">
        <f t="shared" si="25"/>
        <v>-4.003594305476284</v>
      </c>
      <c r="M177" s="25">
        <f t="shared" si="26"/>
        <v>194.68333333333328</v>
      </c>
      <c r="N177" s="182">
        <f>$L$85+K177*COS(M177*PI()/180)</f>
        <v>2215.9103404033604</v>
      </c>
      <c r="O177" s="182">
        <f t="shared" si="28"/>
        <v>3000.8052280447905</v>
      </c>
      <c r="P177" s="136">
        <f t="shared" si="29"/>
        <v>135.5292772966058</v>
      </c>
      <c r="Q177" s="139" t="s">
        <v>100</v>
      </c>
    </row>
    <row r="178" spans="14:17" ht="12.75">
      <c r="N178" s="185"/>
      <c r="O178" s="185"/>
      <c r="P178" s="84"/>
      <c r="Q178" s="146"/>
    </row>
    <row r="179" spans="3:17" ht="12.75">
      <c r="C179" s="10"/>
      <c r="D179" s="11"/>
      <c r="E179" s="11"/>
      <c r="F179" s="33"/>
      <c r="G179" s="33"/>
      <c r="H179" s="33"/>
      <c r="I179" s="33"/>
      <c r="J179" s="33"/>
      <c r="K179" s="78"/>
      <c r="L179" s="79"/>
      <c r="M179" s="80"/>
      <c r="N179" s="184"/>
      <c r="O179" s="184"/>
      <c r="P179" s="33"/>
      <c r="Q179" s="142"/>
    </row>
    <row r="180" spans="3:17" ht="12.75">
      <c r="C180" s="12" t="s">
        <v>81</v>
      </c>
      <c r="D180" s="11" t="s">
        <v>0</v>
      </c>
      <c r="E180" s="51">
        <v>1550</v>
      </c>
      <c r="F180" s="33"/>
      <c r="G180" s="33"/>
      <c r="H180" s="33"/>
      <c r="I180" s="33"/>
      <c r="J180" s="33"/>
      <c r="K180" s="78"/>
      <c r="L180" s="79"/>
      <c r="M180" s="80"/>
      <c r="N180" s="184"/>
      <c r="O180" s="184"/>
      <c r="P180" s="83"/>
      <c r="Q180" s="143"/>
    </row>
    <row r="181" spans="3:17" ht="12.75">
      <c r="C181" s="3">
        <f>1+C177</f>
        <v>67</v>
      </c>
      <c r="D181" s="1">
        <v>1000</v>
      </c>
      <c r="E181" s="1">
        <v>1410</v>
      </c>
      <c r="F181" s="1">
        <v>1820</v>
      </c>
      <c r="G181" s="1">
        <v>295</v>
      </c>
      <c r="H181" s="2">
        <v>0.3</v>
      </c>
      <c r="I181" s="1">
        <v>89</v>
      </c>
      <c r="J181" s="2">
        <v>30.8</v>
      </c>
      <c r="K181" s="13">
        <f>(100*(F181-D181)*(COS((90-I181-J181/60)*PI()/180))^2)/1000</f>
        <v>81.99408409290187</v>
      </c>
      <c r="L181" s="34">
        <f>$E$180/1000-E181/1000+K181*TAN((90-I181-J181/60)*PI()/180)</f>
        <v>0.8364692269506436</v>
      </c>
      <c r="M181" s="25">
        <f>IF($G$68+G181+H181/60&lt;360,$G$68+G181+H181/60,$G$68+G181+H181/60-360)</f>
        <v>38.62166666666667</v>
      </c>
      <c r="N181" s="182">
        <f>$L$86+K181*COS(M181*PI()/180)</f>
        <v>2198.2248706802498</v>
      </c>
      <c r="O181" s="182">
        <f>M$86+K181*SIN(M181*PI()/180)</f>
        <v>3010.064083850582</v>
      </c>
      <c r="P181" s="136">
        <f>N$86+L181</f>
        <v>135.4898792905712</v>
      </c>
      <c r="Q181" s="139" t="s">
        <v>87</v>
      </c>
    </row>
    <row r="182" spans="3:17" ht="12.75">
      <c r="C182" s="3">
        <v>68</v>
      </c>
      <c r="D182" s="1">
        <v>1000</v>
      </c>
      <c r="E182" s="1">
        <v>1262</v>
      </c>
      <c r="F182" s="1">
        <v>1524</v>
      </c>
      <c r="G182" s="1">
        <v>281</v>
      </c>
      <c r="H182" s="2">
        <v>20.8</v>
      </c>
      <c r="I182" s="1">
        <v>89</v>
      </c>
      <c r="J182" s="2">
        <v>15.5</v>
      </c>
      <c r="K182" s="13">
        <f t="shared" si="30"/>
        <v>52.391220307886464</v>
      </c>
      <c r="L182" s="34">
        <f>$E$180/1000-E182/1000+K182*TAN((90-I182-J182/60)*PI()/180)</f>
        <v>0.9662173573095933</v>
      </c>
      <c r="M182" s="25">
        <f>IF($G$68+G182+H182/60&lt;360,$G$68+G182+H182/60,$G$68+G182+H182/60-360)</f>
        <v>24.963333333333367</v>
      </c>
      <c r="N182" s="182">
        <f>$L$86+K182*COS(M182*PI()/180)</f>
        <v>2181.6608949622046</v>
      </c>
      <c r="O182" s="182">
        <f>M$86+K182*SIN(M182*PI()/180)</f>
        <v>2980.9965144811663</v>
      </c>
      <c r="P182" s="136">
        <f>N$86+L182</f>
        <v>135.61962742093016</v>
      </c>
      <c r="Q182" s="139" t="s">
        <v>87</v>
      </c>
    </row>
    <row r="183" spans="2:18" s="4" customFormat="1" ht="12.75">
      <c r="B183" s="16"/>
      <c r="C183" s="3">
        <f aca="true" t="shared" si="31" ref="C183:C201">1+C182</f>
        <v>69</v>
      </c>
      <c r="D183" s="1">
        <v>1000</v>
      </c>
      <c r="E183" s="1">
        <v>1363</v>
      </c>
      <c r="F183" s="1">
        <v>1727</v>
      </c>
      <c r="G183" s="1">
        <v>267</v>
      </c>
      <c r="H183" s="2">
        <v>35.8</v>
      </c>
      <c r="I183" s="1">
        <v>88</v>
      </c>
      <c r="J183" s="2">
        <v>48.6</v>
      </c>
      <c r="K183" s="13">
        <f t="shared" si="30"/>
        <v>72.66864400251737</v>
      </c>
      <c r="L183" s="34">
        <f aca="true" t="shared" si="32" ref="L183:L201">$E$180/1000-E183/1000+K183*TAN((90-I183-J183/60)*PI()/180)</f>
        <v>1.6965025069239394</v>
      </c>
      <c r="M183" s="25">
        <f aca="true" t="shared" si="33" ref="M183:M200">IF($G$68+G183+H183/60&lt;360,$G$68+G183+H183/60,$G$68+G183+H183/60-360)</f>
        <v>11.213333333333367</v>
      </c>
      <c r="N183" s="182">
        <f aca="true" t="shared" si="34" ref="N183:N201">$L$86+K183*COS(M183*PI()/180)</f>
        <v>2205.445558600277</v>
      </c>
      <c r="O183" s="182">
        <f aca="true" t="shared" si="35" ref="O183:O201">M$86+K183*SIN(M183*PI()/180)</f>
        <v>2973.01675445808</v>
      </c>
      <c r="P183" s="136">
        <f aca="true" t="shared" si="36" ref="P183:P201">N$86+L183</f>
        <v>136.3499125705445</v>
      </c>
      <c r="Q183" s="139" t="s">
        <v>103</v>
      </c>
      <c r="R183"/>
    </row>
    <row r="184" spans="3:17" ht="12.75">
      <c r="C184" s="3">
        <f t="shared" si="31"/>
        <v>70</v>
      </c>
      <c r="D184" s="1">
        <v>1000</v>
      </c>
      <c r="E184" s="1">
        <v>1420</v>
      </c>
      <c r="F184" s="1">
        <v>1841</v>
      </c>
      <c r="G184" s="1">
        <v>249</v>
      </c>
      <c r="H184" s="2">
        <v>31.2</v>
      </c>
      <c r="I184" s="1">
        <v>88</v>
      </c>
      <c r="J184" s="2">
        <v>44.9</v>
      </c>
      <c r="K184" s="13">
        <f t="shared" si="30"/>
        <v>84.05987093726942</v>
      </c>
      <c r="L184" s="34">
        <f t="shared" si="32"/>
        <v>1.9666392770398238</v>
      </c>
      <c r="M184" s="25">
        <f t="shared" si="33"/>
        <v>353.13666666666666</v>
      </c>
      <c r="N184" s="182">
        <f t="shared" si="34"/>
        <v>2217.6216638563806</v>
      </c>
      <c r="O184" s="182">
        <f t="shared" si="35"/>
        <v>2948.8401389578103</v>
      </c>
      <c r="P184" s="136">
        <f>N$86+L184</f>
        <v>136.6200493406604</v>
      </c>
      <c r="Q184" s="139" t="s">
        <v>103</v>
      </c>
    </row>
    <row r="185" spans="3:17" ht="12.75">
      <c r="C185" s="3">
        <f t="shared" si="31"/>
        <v>71</v>
      </c>
      <c r="D185" s="1">
        <v>1000</v>
      </c>
      <c r="E185" s="1">
        <v>1181</v>
      </c>
      <c r="F185" s="1">
        <v>1363</v>
      </c>
      <c r="G185" s="1">
        <v>241</v>
      </c>
      <c r="H185" s="2">
        <v>11.3</v>
      </c>
      <c r="I185" s="1">
        <v>88</v>
      </c>
      <c r="J185" s="2">
        <v>20.7</v>
      </c>
      <c r="K185" s="13">
        <f t="shared" si="30"/>
        <v>36.26972134581671</v>
      </c>
      <c r="L185" s="34">
        <f t="shared" si="32"/>
        <v>1.4169495932315594</v>
      </c>
      <c r="M185" s="25">
        <f t="shared" si="33"/>
        <v>344.805</v>
      </c>
      <c r="N185" s="182">
        <f t="shared" si="34"/>
        <v>2169.1658732929454</v>
      </c>
      <c r="O185" s="182">
        <f t="shared" si="35"/>
        <v>2949.3789452099722</v>
      </c>
      <c r="P185" s="136">
        <f t="shared" si="36"/>
        <v>136.0703596568521</v>
      </c>
      <c r="Q185" s="139" t="s">
        <v>100</v>
      </c>
    </row>
    <row r="186" spans="3:17" ht="12.75">
      <c r="C186" s="3">
        <f t="shared" si="31"/>
        <v>72</v>
      </c>
      <c r="D186" s="1">
        <v>1000</v>
      </c>
      <c r="E186" s="1">
        <v>1136</v>
      </c>
      <c r="F186" s="1">
        <v>1272</v>
      </c>
      <c r="G186" s="1">
        <v>237</v>
      </c>
      <c r="H186" s="2">
        <v>25</v>
      </c>
      <c r="I186" s="1">
        <v>87</v>
      </c>
      <c r="J186" s="2">
        <v>2.89</v>
      </c>
      <c r="K186" s="13">
        <f t="shared" si="30"/>
        <v>27.127868820890775</v>
      </c>
      <c r="L186" s="34">
        <f t="shared" si="32"/>
        <v>1.81284422462663</v>
      </c>
      <c r="M186" s="25">
        <f t="shared" si="33"/>
        <v>341.03333333333336</v>
      </c>
      <c r="N186" s="182">
        <f t="shared" si="34"/>
        <v>2159.819201992159</v>
      </c>
      <c r="O186" s="182">
        <f t="shared" si="35"/>
        <v>2950.0683730366545</v>
      </c>
      <c r="P186" s="136">
        <f t="shared" si="36"/>
        <v>136.46625428824717</v>
      </c>
      <c r="Q186" s="139" t="s">
        <v>87</v>
      </c>
    </row>
    <row r="187" spans="3:17" ht="12.75">
      <c r="C187" s="3">
        <f t="shared" si="31"/>
        <v>73</v>
      </c>
      <c r="D187" s="1">
        <v>1000</v>
      </c>
      <c r="E187" s="1">
        <v>1288</v>
      </c>
      <c r="F187" s="1">
        <v>1576</v>
      </c>
      <c r="G187" s="1">
        <v>184</v>
      </c>
      <c r="H187" s="2">
        <v>26.5</v>
      </c>
      <c r="I187" s="1">
        <v>88</v>
      </c>
      <c r="J187" s="2">
        <v>52.9</v>
      </c>
      <c r="K187" s="13">
        <f t="shared" si="30"/>
        <v>57.578058586321774</v>
      </c>
      <c r="L187" s="34">
        <f t="shared" si="32"/>
        <v>1.385985766027058</v>
      </c>
      <c r="M187" s="25">
        <f t="shared" si="33"/>
        <v>288.05833333333334</v>
      </c>
      <c r="N187" s="182">
        <f t="shared" si="34"/>
        <v>2152.0125052115914</v>
      </c>
      <c r="O187" s="182">
        <f t="shared" si="35"/>
        <v>2904.143574583336</v>
      </c>
      <c r="P187" s="136">
        <f t="shared" si="36"/>
        <v>136.03939582964762</v>
      </c>
      <c r="Q187" s="139" t="s">
        <v>100</v>
      </c>
    </row>
    <row r="188" spans="3:17" ht="12.75">
      <c r="C188" s="3">
        <f t="shared" si="31"/>
        <v>74</v>
      </c>
      <c r="D188" s="1">
        <v>1000</v>
      </c>
      <c r="E188" s="1">
        <v>1309</v>
      </c>
      <c r="F188" s="1">
        <v>1618</v>
      </c>
      <c r="G188" s="1">
        <v>165</v>
      </c>
      <c r="H188" s="2">
        <v>1.2</v>
      </c>
      <c r="I188" s="1">
        <v>88</v>
      </c>
      <c r="J188" s="2">
        <v>37.9</v>
      </c>
      <c r="K188" s="13">
        <f t="shared" si="30"/>
        <v>61.76475930570328</v>
      </c>
      <c r="L188" s="34">
        <f t="shared" si="32"/>
        <v>1.7163416556860671</v>
      </c>
      <c r="M188" s="25">
        <f t="shared" si="33"/>
        <v>268.63666666666666</v>
      </c>
      <c r="N188" s="182">
        <f t="shared" si="34"/>
        <v>2132.6946317274105</v>
      </c>
      <c r="O188" s="182">
        <f t="shared" si="35"/>
        <v>2897.138144248901</v>
      </c>
      <c r="P188" s="136">
        <f t="shared" si="36"/>
        <v>136.36975171930663</v>
      </c>
      <c r="Q188" s="139" t="s">
        <v>86</v>
      </c>
    </row>
    <row r="189" spans="3:17" ht="12.75">
      <c r="C189" s="3">
        <f t="shared" si="31"/>
        <v>75</v>
      </c>
      <c r="D189" s="1">
        <v>1000</v>
      </c>
      <c r="E189" s="1">
        <v>1299</v>
      </c>
      <c r="F189" s="1">
        <v>1597</v>
      </c>
      <c r="G189" s="1">
        <v>160</v>
      </c>
      <c r="H189" s="2">
        <v>23.7</v>
      </c>
      <c r="I189" s="1">
        <v>88</v>
      </c>
      <c r="J189" s="2">
        <v>35.1</v>
      </c>
      <c r="K189" s="13">
        <f t="shared" si="30"/>
        <v>59.66359561905065</v>
      </c>
      <c r="L189" s="34">
        <f t="shared" si="32"/>
        <v>1.724776191870146</v>
      </c>
      <c r="M189" s="25">
        <f t="shared" si="33"/>
        <v>264.01166666666666</v>
      </c>
      <c r="N189" s="182">
        <f t="shared" si="34"/>
        <v>2127.939702633896</v>
      </c>
      <c r="O189" s="182">
        <f t="shared" si="35"/>
        <v>2899.5473983546285</v>
      </c>
      <c r="P189" s="136">
        <f t="shared" si="36"/>
        <v>136.3781862554907</v>
      </c>
      <c r="Q189" s="139" t="s">
        <v>86</v>
      </c>
    </row>
    <row r="190" spans="3:17" ht="12.75">
      <c r="C190" s="3">
        <f t="shared" si="31"/>
        <v>76</v>
      </c>
      <c r="D190" s="1">
        <v>1000</v>
      </c>
      <c r="E190" s="1">
        <v>1256</v>
      </c>
      <c r="F190" s="1">
        <v>1513</v>
      </c>
      <c r="G190" s="1">
        <v>159</v>
      </c>
      <c r="H190" s="2">
        <v>31.2</v>
      </c>
      <c r="I190" s="1">
        <v>89</v>
      </c>
      <c r="J190" s="2">
        <v>0.1</v>
      </c>
      <c r="K190" s="13">
        <f t="shared" si="30"/>
        <v>51.284426748659406</v>
      </c>
      <c r="L190" s="34">
        <f t="shared" si="32"/>
        <v>1.1876807414369663</v>
      </c>
      <c r="M190" s="25">
        <f t="shared" si="33"/>
        <v>263.13666666666666</v>
      </c>
      <c r="N190" s="182">
        <f t="shared" si="34"/>
        <v>2128.0355985384167</v>
      </c>
      <c r="O190" s="182">
        <f t="shared" si="35"/>
        <v>2907.9684956121546</v>
      </c>
      <c r="P190" s="136">
        <f t="shared" si="36"/>
        <v>135.84109080505752</v>
      </c>
      <c r="Q190" s="139" t="s">
        <v>104</v>
      </c>
    </row>
    <row r="191" spans="3:17" ht="12.75">
      <c r="C191" s="3">
        <f t="shared" si="31"/>
        <v>77</v>
      </c>
      <c r="D191" s="1">
        <v>1000</v>
      </c>
      <c r="E191" s="1">
        <v>1216</v>
      </c>
      <c r="F191" s="1">
        <v>1433</v>
      </c>
      <c r="G191" s="1">
        <v>153</v>
      </c>
      <c r="H191" s="2">
        <v>16.7</v>
      </c>
      <c r="I191" s="1">
        <v>89</v>
      </c>
      <c r="J191" s="2">
        <v>59</v>
      </c>
      <c r="K191" s="13">
        <f t="shared" si="30"/>
        <v>43.299996336129475</v>
      </c>
      <c r="L191" s="34">
        <f t="shared" si="32"/>
        <v>0.34659545872470804</v>
      </c>
      <c r="M191" s="25">
        <f t="shared" si="33"/>
        <v>256.895</v>
      </c>
      <c r="N191" s="182">
        <f t="shared" si="34"/>
        <v>2124.3464831683377</v>
      </c>
      <c r="O191" s="182">
        <f t="shared" si="35"/>
        <v>2916.713119999084</v>
      </c>
      <c r="P191" s="136">
        <f t="shared" si="36"/>
        <v>135.00000552234528</v>
      </c>
      <c r="Q191" s="139" t="s">
        <v>105</v>
      </c>
    </row>
    <row r="192" spans="3:17" ht="12.75">
      <c r="C192" s="3">
        <f t="shared" si="31"/>
        <v>78</v>
      </c>
      <c r="D192" s="1">
        <v>1000</v>
      </c>
      <c r="E192" s="1">
        <v>1287</v>
      </c>
      <c r="F192" s="1">
        <v>1573</v>
      </c>
      <c r="G192" s="1">
        <v>136</v>
      </c>
      <c r="H192" s="2">
        <v>35.2</v>
      </c>
      <c r="I192" s="1">
        <v>90</v>
      </c>
      <c r="J192" s="2">
        <v>13</v>
      </c>
      <c r="K192" s="13">
        <f t="shared" si="30"/>
        <v>57.299180608431364</v>
      </c>
      <c r="L192" s="34">
        <f t="shared" si="32"/>
        <v>0.046319439080504565</v>
      </c>
      <c r="M192" s="25">
        <f t="shared" si="33"/>
        <v>240.20333333333335</v>
      </c>
      <c r="N192" s="182">
        <f t="shared" si="34"/>
        <v>2105.6908562354815</v>
      </c>
      <c r="O192" s="182">
        <f t="shared" si="35"/>
        <v>2909.1615131876288</v>
      </c>
      <c r="P192" s="136">
        <f t="shared" si="36"/>
        <v>134.69972950270105</v>
      </c>
      <c r="Q192" s="139" t="s">
        <v>105</v>
      </c>
    </row>
    <row r="193" spans="3:17" ht="12.75">
      <c r="C193" s="3">
        <f t="shared" si="31"/>
        <v>79</v>
      </c>
      <c r="D193" s="1">
        <v>1000</v>
      </c>
      <c r="E193" s="1">
        <v>1263</v>
      </c>
      <c r="F193" s="1">
        <v>1527</v>
      </c>
      <c r="G193" s="1">
        <v>90</v>
      </c>
      <c r="H193" s="2">
        <v>3.7</v>
      </c>
      <c r="I193" s="1">
        <v>92</v>
      </c>
      <c r="J193" s="2">
        <v>3.96</v>
      </c>
      <c r="K193" s="13">
        <f t="shared" si="30"/>
        <v>52.63150833069685</v>
      </c>
      <c r="L193" s="34">
        <f t="shared" si="32"/>
        <v>-1.6116363168106587</v>
      </c>
      <c r="M193" s="25">
        <f t="shared" si="33"/>
        <v>193.67833333333334</v>
      </c>
      <c r="N193" s="182">
        <f t="shared" si="34"/>
        <v>2083.0253585138025</v>
      </c>
      <c r="O193" s="182">
        <f t="shared" si="35"/>
        <v>2946.4396078502677</v>
      </c>
      <c r="P193" s="136">
        <f t="shared" si="36"/>
        <v>133.0417737468099</v>
      </c>
      <c r="Q193" s="139" t="s">
        <v>91</v>
      </c>
    </row>
    <row r="194" spans="3:17" ht="12.75">
      <c r="C194" s="3">
        <f t="shared" si="31"/>
        <v>80</v>
      </c>
      <c r="D194" s="1">
        <v>1000</v>
      </c>
      <c r="E194" s="1">
        <v>1307</v>
      </c>
      <c r="F194" s="1">
        <v>1614</v>
      </c>
      <c r="G194" s="1">
        <v>66</v>
      </c>
      <c r="H194" s="2">
        <v>1.2</v>
      </c>
      <c r="I194" s="1">
        <v>93</v>
      </c>
      <c r="J194" s="2">
        <v>39.6</v>
      </c>
      <c r="K194" s="13">
        <f t="shared" si="30"/>
        <v>61.14979586714019</v>
      </c>
      <c r="L194" s="34">
        <f t="shared" si="32"/>
        <v>-3.668512706037423</v>
      </c>
      <c r="M194" s="25">
        <f t="shared" si="33"/>
        <v>169.63666666666668</v>
      </c>
      <c r="N194" s="182">
        <f t="shared" si="34"/>
        <v>2074.0119176035955</v>
      </c>
      <c r="O194" s="182">
        <f t="shared" si="35"/>
        <v>2969.8856356829806</v>
      </c>
      <c r="P194" s="136">
        <f t="shared" si="36"/>
        <v>130.98489735758312</v>
      </c>
      <c r="Q194" s="139" t="s">
        <v>106</v>
      </c>
    </row>
    <row r="195" spans="3:17" ht="12.75">
      <c r="C195" s="3">
        <f t="shared" si="31"/>
        <v>81</v>
      </c>
      <c r="D195" s="1">
        <v>1000</v>
      </c>
      <c r="E195" s="1">
        <v>1352</v>
      </c>
      <c r="F195" s="1">
        <v>1704</v>
      </c>
      <c r="G195" s="1">
        <v>33</v>
      </c>
      <c r="H195" s="2">
        <v>57.2</v>
      </c>
      <c r="I195" s="1">
        <v>93</v>
      </c>
      <c r="J195" s="2">
        <v>10.2</v>
      </c>
      <c r="K195" s="13">
        <f t="shared" si="30"/>
        <v>70.18472046917469</v>
      </c>
      <c r="L195" s="34">
        <f t="shared" si="32"/>
        <v>-3.689072638079874</v>
      </c>
      <c r="M195" s="25">
        <f t="shared" si="33"/>
        <v>137.57000000000002</v>
      </c>
      <c r="N195" s="182">
        <f t="shared" si="34"/>
        <v>2082.36066934871</v>
      </c>
      <c r="O195" s="182">
        <f t="shared" si="35"/>
        <v>3006.2382745405625</v>
      </c>
      <c r="P195" s="136">
        <f t="shared" si="36"/>
        <v>130.9643374255407</v>
      </c>
      <c r="Q195" s="139" t="s">
        <v>106</v>
      </c>
    </row>
    <row r="196" spans="3:17" ht="12.75">
      <c r="C196" s="3">
        <f t="shared" si="31"/>
        <v>82</v>
      </c>
      <c r="D196" s="1">
        <v>1000</v>
      </c>
      <c r="E196" s="1">
        <v>1247</v>
      </c>
      <c r="F196" s="1">
        <v>1494</v>
      </c>
      <c r="G196" s="1">
        <v>36</v>
      </c>
      <c r="H196" s="2">
        <v>18.2</v>
      </c>
      <c r="I196" s="1">
        <v>92</v>
      </c>
      <c r="J196" s="2">
        <v>10.6</v>
      </c>
      <c r="K196" s="13">
        <f t="shared" si="30"/>
        <v>49.328738231377784</v>
      </c>
      <c r="L196" s="34">
        <f t="shared" si="32"/>
        <v>-1.571900832116329</v>
      </c>
      <c r="M196" s="25">
        <f t="shared" si="33"/>
        <v>139.92000000000002</v>
      </c>
      <c r="N196" s="182">
        <f t="shared" si="34"/>
        <v>2096.4204678096426</v>
      </c>
      <c r="O196" s="182">
        <f t="shared" si="35"/>
        <v>2990.646052040928</v>
      </c>
      <c r="P196" s="136">
        <f t="shared" si="36"/>
        <v>133.0815092315042</v>
      </c>
      <c r="Q196" s="139" t="s">
        <v>91</v>
      </c>
    </row>
    <row r="197" spans="3:17" ht="12.75">
      <c r="C197" s="3">
        <f t="shared" si="31"/>
        <v>83</v>
      </c>
      <c r="D197" s="1">
        <v>1000</v>
      </c>
      <c r="E197" s="1">
        <v>1321</v>
      </c>
      <c r="F197" s="1">
        <v>1643</v>
      </c>
      <c r="G197" s="1">
        <v>13</v>
      </c>
      <c r="H197" s="2">
        <v>25.6</v>
      </c>
      <c r="I197" s="1">
        <v>91</v>
      </c>
      <c r="J197" s="2">
        <v>34.3</v>
      </c>
      <c r="K197" s="13">
        <f t="shared" si="30"/>
        <v>64.25162982459283</v>
      </c>
      <c r="L197" s="34">
        <f t="shared" si="32"/>
        <v>-1.5339131018892338</v>
      </c>
      <c r="M197" s="25">
        <f t="shared" si="33"/>
        <v>117.04333333333334</v>
      </c>
      <c r="N197" s="182">
        <f t="shared" si="34"/>
        <v>2104.9512453610496</v>
      </c>
      <c r="O197" s="182">
        <f t="shared" si="35"/>
        <v>3016.1119629490336</v>
      </c>
      <c r="P197" s="136">
        <f t="shared" si="36"/>
        <v>133.11949696173133</v>
      </c>
      <c r="Q197" s="139" t="s">
        <v>91</v>
      </c>
    </row>
    <row r="198" spans="3:17" ht="12.75">
      <c r="C198" s="3">
        <f t="shared" si="31"/>
        <v>84</v>
      </c>
      <c r="D198" s="1">
        <v>1000</v>
      </c>
      <c r="E198" s="1">
        <v>1373</v>
      </c>
      <c r="F198" s="1">
        <v>1746</v>
      </c>
      <c r="G198" s="1">
        <v>334</v>
      </c>
      <c r="H198" s="2">
        <v>51.2</v>
      </c>
      <c r="I198" s="1">
        <v>90</v>
      </c>
      <c r="J198" s="2">
        <v>41</v>
      </c>
      <c r="K198" s="13">
        <f t="shared" si="30"/>
        <v>74.58938944297007</v>
      </c>
      <c r="L198" s="34">
        <f t="shared" si="32"/>
        <v>-0.7126263094762779</v>
      </c>
      <c r="M198" s="25">
        <f t="shared" si="33"/>
        <v>78.47000000000003</v>
      </c>
      <c r="N198" s="182">
        <f t="shared" si="34"/>
        <v>2149.0731655512427</v>
      </c>
      <c r="O198" s="182">
        <f t="shared" si="35"/>
        <v>3031.969608321515</v>
      </c>
      <c r="P198" s="136">
        <f t="shared" si="36"/>
        <v>133.94078375414426</v>
      </c>
      <c r="Q198" s="139" t="s">
        <v>90</v>
      </c>
    </row>
    <row r="199" spans="3:17" ht="12.75">
      <c r="C199" s="3">
        <f t="shared" si="31"/>
        <v>85</v>
      </c>
      <c r="D199" s="1">
        <v>1000</v>
      </c>
      <c r="E199" s="1">
        <v>1513</v>
      </c>
      <c r="F199" s="1">
        <v>2026</v>
      </c>
      <c r="G199" s="1">
        <v>313</v>
      </c>
      <c r="H199" s="2">
        <v>45.7</v>
      </c>
      <c r="I199" s="1">
        <v>89</v>
      </c>
      <c r="J199" s="2">
        <v>52.3</v>
      </c>
      <c r="K199" s="13">
        <f t="shared" si="30"/>
        <v>102.59948526900645</v>
      </c>
      <c r="L199" s="34">
        <f t="shared" si="32"/>
        <v>0.26680673399980603</v>
      </c>
      <c r="M199" s="25">
        <f t="shared" si="33"/>
        <v>57.37833333333333</v>
      </c>
      <c r="N199" s="182">
        <f t="shared" si="34"/>
        <v>2189.4744513491596</v>
      </c>
      <c r="O199" s="182">
        <f t="shared" si="35"/>
        <v>3045.299691852316</v>
      </c>
      <c r="P199" s="136">
        <f t="shared" si="36"/>
        <v>134.92021679762036</v>
      </c>
      <c r="Q199" s="139" t="s">
        <v>90</v>
      </c>
    </row>
    <row r="200" spans="3:17" ht="12.75">
      <c r="C200" s="3">
        <f t="shared" si="31"/>
        <v>86</v>
      </c>
      <c r="D200" s="1">
        <v>1000</v>
      </c>
      <c r="E200" s="1">
        <v>1316</v>
      </c>
      <c r="F200" s="1">
        <v>1633</v>
      </c>
      <c r="G200" s="1">
        <v>303</v>
      </c>
      <c r="H200" s="2">
        <v>51.2</v>
      </c>
      <c r="I200" s="1">
        <v>89</v>
      </c>
      <c r="J200" s="2">
        <v>53.9</v>
      </c>
      <c r="K200" s="13">
        <f t="shared" si="30"/>
        <v>63.29980069639299</v>
      </c>
      <c r="L200" s="34">
        <f t="shared" si="32"/>
        <v>0.3463204282467146</v>
      </c>
      <c r="M200" s="25">
        <f t="shared" si="33"/>
        <v>47.47000000000003</v>
      </c>
      <c r="N200" s="182">
        <f t="shared" si="34"/>
        <v>2176.953319943474</v>
      </c>
      <c r="O200" s="182">
        <f t="shared" si="35"/>
        <v>3005.532529743839</v>
      </c>
      <c r="P200" s="136">
        <f t="shared" si="36"/>
        <v>134.99973049186727</v>
      </c>
      <c r="Q200" s="139" t="s">
        <v>90</v>
      </c>
    </row>
    <row r="201" spans="3:17" ht="12.75">
      <c r="C201" s="3">
        <f t="shared" si="31"/>
        <v>87</v>
      </c>
      <c r="D201" s="1">
        <v>1000</v>
      </c>
      <c r="E201" s="1">
        <v>1270</v>
      </c>
      <c r="F201" s="1">
        <v>1540</v>
      </c>
      <c r="G201" s="1">
        <v>318</v>
      </c>
      <c r="H201" s="2">
        <v>30.2</v>
      </c>
      <c r="I201" s="1">
        <v>90</v>
      </c>
      <c r="J201" s="2">
        <v>51.7</v>
      </c>
      <c r="K201" s="13">
        <f t="shared" si="30"/>
        <v>53.987787787889154</v>
      </c>
      <c r="L201" s="34">
        <f t="shared" si="32"/>
        <v>-0.5319792582701218</v>
      </c>
      <c r="M201" s="25">
        <f>IF($G$68+G201+H201/60&lt;360,$G$68+G201+H201/60,$G$68+G201+H201/60-360)</f>
        <v>62.120000000000005</v>
      </c>
      <c r="N201" s="182">
        <f t="shared" si="34"/>
        <v>2159.4100033655777</v>
      </c>
      <c r="O201" s="182">
        <f t="shared" si="35"/>
        <v>3006.6067858789743</v>
      </c>
      <c r="P201" s="136">
        <f t="shared" si="36"/>
        <v>134.12143080535043</v>
      </c>
      <c r="Q201" s="139" t="s">
        <v>90</v>
      </c>
    </row>
    <row r="202" spans="3:17" ht="12.75">
      <c r="C202" s="9"/>
      <c r="D202" s="33"/>
      <c r="E202" s="33"/>
      <c r="F202" s="33"/>
      <c r="G202" s="33"/>
      <c r="H202" s="33"/>
      <c r="I202" s="33"/>
      <c r="J202" s="33"/>
      <c r="K202" s="33"/>
      <c r="L202" s="104"/>
      <c r="M202" s="103" t="s">
        <v>72</v>
      </c>
      <c r="N202" s="76">
        <f>MAX(N105:N201)</f>
        <v>2360.408940968556</v>
      </c>
      <c r="O202" s="76">
        <f>MAX(O105:O201)</f>
        <v>3276.2320723704847</v>
      </c>
      <c r="P202" s="76">
        <f>MAX(P105:P201)</f>
        <v>143.4253409795514</v>
      </c>
      <c r="Q202" s="140"/>
    </row>
    <row r="203" spans="3:17" ht="12.75">
      <c r="C203" s="33"/>
      <c r="D203" s="9"/>
      <c r="E203" s="33"/>
      <c r="F203" s="33"/>
      <c r="G203" s="33"/>
      <c r="H203" s="33"/>
      <c r="I203" s="33"/>
      <c r="J203" s="33"/>
      <c r="K203" s="33"/>
      <c r="L203" s="105"/>
      <c r="M203" s="103" t="s">
        <v>73</v>
      </c>
      <c r="N203" s="76">
        <f>MIN(N105:N201)</f>
        <v>1975.0453189098107</v>
      </c>
      <c r="O203" s="76">
        <f>MIN(O105:O201)</f>
        <v>2897.138144248901</v>
      </c>
      <c r="P203" s="76">
        <f>MIN(P105:P201)</f>
        <v>130.9643374255407</v>
      </c>
      <c r="Q203" s="140"/>
    </row>
    <row r="204" spans="3:15" ht="12.75">
      <c r="C204" s="33"/>
      <c r="D204" s="9"/>
      <c r="E204" s="33"/>
      <c r="F204" s="33"/>
      <c r="G204" s="33"/>
      <c r="H204" s="33"/>
      <c r="I204" s="33"/>
      <c r="J204" s="33"/>
      <c r="K204" s="33"/>
      <c r="L204" s="79"/>
      <c r="N204" s="185"/>
      <c r="O204" s="185"/>
    </row>
    <row r="205" spans="12:15" ht="12.75">
      <c r="L205" s="52"/>
      <c r="N205" s="185"/>
      <c r="O205" s="185"/>
    </row>
  </sheetData>
  <sheetProtection/>
  <printOptions/>
  <pageMargins left="0.75" right="0.75" top="1" bottom="1" header="0.5" footer="0.5"/>
  <pageSetup horizontalDpi="300" verticalDpi="300" orientation="portrait" paperSize="8" scale="8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91"/>
  <sheetViews>
    <sheetView zoomScalePageLayoutView="0" workbookViewId="0" topLeftCell="A48">
      <selection activeCell="D91" sqref="A1:D91"/>
    </sheetView>
  </sheetViews>
  <sheetFormatPr defaultColWidth="9.140625" defaultRowHeight="12.75"/>
  <sheetData>
    <row r="1" spans="1:4" ht="12.75">
      <c r="A1" s="54" t="s">
        <v>27</v>
      </c>
      <c r="B1" s="57">
        <v>2100</v>
      </c>
      <c r="C1" s="57">
        <v>3100</v>
      </c>
      <c r="D1" s="58">
        <v>133.75</v>
      </c>
    </row>
    <row r="2" spans="1:4" ht="12.75">
      <c r="A2" s="54" t="s">
        <v>28</v>
      </c>
      <c r="B2" s="59">
        <v>2041.4871082422667</v>
      </c>
      <c r="C2" s="59">
        <v>3237.650288134352</v>
      </c>
      <c r="D2" s="60">
        <v>137.71033776749564</v>
      </c>
    </row>
    <row r="3" spans="1:4" ht="12.75">
      <c r="A3" s="54" t="s">
        <v>29</v>
      </c>
      <c r="B3" s="57">
        <v>2203.631543615026</v>
      </c>
      <c r="C3" s="57">
        <v>3258.581852620517</v>
      </c>
      <c r="D3" s="58">
        <v>139.5328716020821</v>
      </c>
    </row>
    <row r="4" spans="1:4" ht="12.75">
      <c r="A4" s="54" t="s">
        <v>30</v>
      </c>
      <c r="B4" s="57">
        <v>2244.051235028488</v>
      </c>
      <c r="C4" s="57">
        <v>3118.1592046070814</v>
      </c>
      <c r="D4" s="58">
        <v>134.65341006362056</v>
      </c>
    </row>
    <row r="5" spans="1:4" ht="12.75">
      <c r="A5">
        <v>1</v>
      </c>
      <c r="B5" s="94">
        <v>2001.9427967446584</v>
      </c>
      <c r="C5" s="94">
        <v>3087.446796805238</v>
      </c>
      <c r="D5" s="135">
        <v>135.8616303796797</v>
      </c>
    </row>
    <row r="6" spans="1:4" ht="12.75">
      <c r="A6">
        <f>A5+1</f>
        <v>2</v>
      </c>
      <c r="B6" s="62">
        <v>1999.720105003682</v>
      </c>
      <c r="C6" s="62">
        <v>3092.538628217027</v>
      </c>
      <c r="D6" s="136">
        <v>135.8791073429086</v>
      </c>
    </row>
    <row r="7" spans="1:4" ht="12.75">
      <c r="A7">
        <f aca="true" t="shared" si="0" ref="A7:A70">A6+1</f>
        <v>3</v>
      </c>
      <c r="B7" s="62">
        <v>2031.1218436803929</v>
      </c>
      <c r="C7" s="62">
        <v>3115.760092189139</v>
      </c>
      <c r="D7" s="136">
        <v>135.66962281814475</v>
      </c>
    </row>
    <row r="8" spans="1:4" ht="12.75">
      <c r="A8">
        <f t="shared" si="0"/>
        <v>4</v>
      </c>
      <c r="B8" s="62">
        <v>2065.167435643647</v>
      </c>
      <c r="C8" s="62">
        <v>3138.2734052940746</v>
      </c>
      <c r="D8" s="136">
        <v>135.63918892573324</v>
      </c>
    </row>
    <row r="9" spans="1:4" ht="12.75">
      <c r="A9">
        <f t="shared" si="0"/>
        <v>5</v>
      </c>
      <c r="B9" s="62">
        <v>2105.5953957386387</v>
      </c>
      <c r="C9" s="62">
        <v>3176.565772453648</v>
      </c>
      <c r="D9" s="136">
        <v>135.43973835667322</v>
      </c>
    </row>
    <row r="10" spans="1:4" ht="12.75">
      <c r="A10">
        <f t="shared" si="0"/>
        <v>6</v>
      </c>
      <c r="B10" s="62">
        <v>2102.9398123639894</v>
      </c>
      <c r="C10" s="62">
        <v>3181.2160255003605</v>
      </c>
      <c r="D10" s="136">
        <v>135.47973282645782</v>
      </c>
    </row>
    <row r="11" spans="1:4" ht="12.75">
      <c r="A11">
        <f t="shared" si="0"/>
        <v>7</v>
      </c>
      <c r="B11" s="62">
        <v>2115.9181619088154</v>
      </c>
      <c r="C11" s="62">
        <v>3169.0698155515042</v>
      </c>
      <c r="D11" s="136">
        <v>135.13047359296013</v>
      </c>
    </row>
    <row r="12" spans="1:4" ht="12.75">
      <c r="A12">
        <f t="shared" si="0"/>
        <v>8</v>
      </c>
      <c r="B12" s="62">
        <v>2100.209301795458</v>
      </c>
      <c r="C12" s="62">
        <v>3152.583880997091</v>
      </c>
      <c r="D12" s="136">
        <v>134.95068186814862</v>
      </c>
    </row>
    <row r="13" spans="1:4" ht="12.75">
      <c r="A13">
        <f t="shared" si="0"/>
        <v>9</v>
      </c>
      <c r="B13" s="62">
        <v>2106.640846003479</v>
      </c>
      <c r="C13" s="62">
        <v>3135.073910859521</v>
      </c>
      <c r="D13" s="136">
        <v>134.45098513086597</v>
      </c>
    </row>
    <row r="14" spans="1:4" ht="12.75">
      <c r="A14">
        <f t="shared" si="0"/>
        <v>10</v>
      </c>
      <c r="B14" s="62">
        <v>2089.606855312808</v>
      </c>
      <c r="C14" s="62">
        <v>3128.1386579551395</v>
      </c>
      <c r="D14" s="136">
        <v>134.47000877095448</v>
      </c>
    </row>
    <row r="15" spans="1:4" ht="12.75">
      <c r="A15">
        <f t="shared" si="0"/>
        <v>11</v>
      </c>
      <c r="B15" s="62">
        <v>2064.894788553765</v>
      </c>
      <c r="C15" s="62">
        <v>3110.6823264737277</v>
      </c>
      <c r="D15" s="136">
        <v>134.57033046910118</v>
      </c>
    </row>
    <row r="16" spans="1:4" ht="12.75">
      <c r="A16">
        <f t="shared" si="0"/>
        <v>12</v>
      </c>
      <c r="B16" s="62">
        <v>2062.5941928135617</v>
      </c>
      <c r="C16" s="62">
        <v>3074.272204554088</v>
      </c>
      <c r="D16" s="136">
        <v>134.2298716007298</v>
      </c>
    </row>
    <row r="17" spans="1:4" ht="12.75">
      <c r="A17">
        <f t="shared" si="0"/>
        <v>13</v>
      </c>
      <c r="B17" s="62">
        <v>2028.6010987310879</v>
      </c>
      <c r="C17" s="62">
        <v>3064.1728943493254</v>
      </c>
      <c r="D17" s="136">
        <v>135.05167192313314</v>
      </c>
    </row>
    <row r="18" spans="1:4" ht="12.75">
      <c r="A18">
        <f t="shared" si="0"/>
        <v>14</v>
      </c>
      <c r="B18" s="62">
        <v>2039.5936723700063</v>
      </c>
      <c r="C18" s="62">
        <v>3009.5148433224745</v>
      </c>
      <c r="D18" s="136">
        <v>134.45092179266456</v>
      </c>
    </row>
    <row r="19" spans="1:4" ht="12.75">
      <c r="A19">
        <f t="shared" si="0"/>
        <v>15</v>
      </c>
      <c r="B19" s="62">
        <v>2056.6615145529954</v>
      </c>
      <c r="C19" s="62">
        <v>2979.1357362258145</v>
      </c>
      <c r="D19" s="136">
        <v>133.95059439225707</v>
      </c>
    </row>
    <row r="20" spans="1:4" ht="12.75">
      <c r="A20">
        <f t="shared" si="0"/>
        <v>16</v>
      </c>
      <c r="B20" s="62">
        <v>2093.0448376960967</v>
      </c>
      <c r="C20" s="62">
        <v>2992.825889006539</v>
      </c>
      <c r="D20" s="136">
        <v>133.54931084920955</v>
      </c>
    </row>
    <row r="21" spans="1:4" ht="12.75">
      <c r="A21">
        <f t="shared" si="0"/>
        <v>17</v>
      </c>
      <c r="B21" s="62">
        <v>2098.1847068475563</v>
      </c>
      <c r="C21" s="62">
        <v>3031.726629098001</v>
      </c>
      <c r="D21" s="136">
        <v>133.55076266067582</v>
      </c>
    </row>
    <row r="22" spans="1:4" ht="12.75">
      <c r="A22">
        <f t="shared" si="0"/>
        <v>18</v>
      </c>
      <c r="B22" s="62">
        <v>2104.4730695022195</v>
      </c>
      <c r="C22" s="62">
        <v>3086.2103359829766</v>
      </c>
      <c r="D22" s="136">
        <v>134.023665458699</v>
      </c>
    </row>
    <row r="23" spans="1:4" ht="12.75">
      <c r="A23">
        <f t="shared" si="0"/>
        <v>19</v>
      </c>
      <c r="B23" s="62">
        <v>2138.49992753171</v>
      </c>
      <c r="C23" s="62">
        <v>3129.659939018558</v>
      </c>
      <c r="D23" s="136">
        <v>134.01958852070868</v>
      </c>
    </row>
    <row r="24" spans="1:4" ht="12.75">
      <c r="A24">
        <f t="shared" si="0"/>
        <v>20</v>
      </c>
      <c r="B24" s="62">
        <v>2165.595920170767</v>
      </c>
      <c r="C24" s="62">
        <v>3087.9730584078225</v>
      </c>
      <c r="D24" s="136">
        <v>133.1290320994304</v>
      </c>
    </row>
    <row r="25" spans="1:4" ht="12.75">
      <c r="A25">
        <f t="shared" si="0"/>
        <v>21</v>
      </c>
      <c r="B25" s="62">
        <v>2169.4009965809296</v>
      </c>
      <c r="C25" s="62">
        <v>3079.416500462142</v>
      </c>
      <c r="D25" s="136">
        <v>131.1093700918279</v>
      </c>
    </row>
    <row r="26" spans="1:4" ht="12.75">
      <c r="A26">
        <f t="shared" si="0"/>
        <v>22</v>
      </c>
      <c r="B26" s="62">
        <v>2147.934046889993</v>
      </c>
      <c r="C26" s="62">
        <v>3064.630191093427</v>
      </c>
      <c r="D26" s="136">
        <v>131.2331757404416</v>
      </c>
    </row>
    <row r="27" spans="1:4" ht="12.75">
      <c r="A27">
        <f t="shared" si="0"/>
        <v>23</v>
      </c>
      <c r="B27" s="62">
        <v>2135.2599317918007</v>
      </c>
      <c r="C27" s="62">
        <v>3070.954907982969</v>
      </c>
      <c r="D27" s="136">
        <v>133.1799132099053</v>
      </c>
    </row>
    <row r="28" spans="1:4" ht="12.75">
      <c r="A28">
        <f t="shared" si="0"/>
        <v>24</v>
      </c>
      <c r="B28" s="62">
        <v>2128.580510991505</v>
      </c>
      <c r="C28" s="62">
        <v>3048.397865152881</v>
      </c>
      <c r="D28" s="136">
        <v>133.18116495634195</v>
      </c>
    </row>
    <row r="29" spans="1:4" ht="12.75">
      <c r="A29">
        <f t="shared" si="0"/>
        <v>25</v>
      </c>
      <c r="B29" s="62">
        <v>2140.7819864127373</v>
      </c>
      <c r="C29" s="62">
        <v>3037.9042068477643</v>
      </c>
      <c r="D29" s="136">
        <v>131.07905215368234</v>
      </c>
    </row>
    <row r="30" spans="1:4" ht="12.75">
      <c r="A30">
        <f t="shared" si="0"/>
        <v>26</v>
      </c>
      <c r="B30" s="62">
        <v>2137.415259376861</v>
      </c>
      <c r="C30" s="62">
        <v>3005.7255895843687</v>
      </c>
      <c r="D30" s="136">
        <v>131.0888792447429</v>
      </c>
    </row>
    <row r="31" spans="1:4" ht="12.75">
      <c r="A31">
        <f t="shared" si="0"/>
        <v>27</v>
      </c>
      <c r="B31" s="62">
        <v>2168.7209925019597</v>
      </c>
      <c r="C31" s="62">
        <v>3018.8577930397905</v>
      </c>
      <c r="D31" s="136">
        <v>131.0969111360045</v>
      </c>
    </row>
    <row r="32" spans="1:4" ht="12.75">
      <c r="A32">
        <f t="shared" si="0"/>
        <v>28</v>
      </c>
      <c r="B32" s="62">
        <v>2016.4166512600832</v>
      </c>
      <c r="C32" s="62">
        <v>3279.6059513546375</v>
      </c>
      <c r="D32" s="136">
        <v>136.92500167049556</v>
      </c>
    </row>
    <row r="33" spans="1:4" ht="12.75">
      <c r="A33">
        <f t="shared" si="0"/>
        <v>29</v>
      </c>
      <c r="B33" s="62">
        <v>2049.0832244961507</v>
      </c>
      <c r="C33" s="62">
        <v>3290.8145749906607</v>
      </c>
      <c r="D33" s="136">
        <v>135.72824985436452</v>
      </c>
    </row>
    <row r="34" spans="1:4" ht="12.75">
      <c r="A34">
        <f t="shared" si="0"/>
        <v>30</v>
      </c>
      <c r="B34" s="62">
        <v>2053.850830349254</v>
      </c>
      <c r="C34" s="62">
        <v>3293.5129896522353</v>
      </c>
      <c r="D34" s="136">
        <v>135.76704283425056</v>
      </c>
    </row>
    <row r="35" spans="1:4" ht="12.75">
      <c r="A35">
        <f t="shared" si="0"/>
        <v>31</v>
      </c>
      <c r="B35" s="62">
        <v>2069.793152919437</v>
      </c>
      <c r="C35" s="62">
        <v>3303.1461856697647</v>
      </c>
      <c r="D35" s="136">
        <v>136.03579595141298</v>
      </c>
    </row>
    <row r="36" spans="1:4" ht="12.75">
      <c r="A36">
        <f t="shared" si="0"/>
        <v>32</v>
      </c>
      <c r="B36" s="62">
        <v>2099.896076892368</v>
      </c>
      <c r="C36" s="62">
        <v>3314.175912696538</v>
      </c>
      <c r="D36" s="136">
        <v>136.06429379837093</v>
      </c>
    </row>
    <row r="37" spans="1:4" ht="12.75">
      <c r="A37">
        <f t="shared" si="0"/>
        <v>33</v>
      </c>
      <c r="B37" s="62">
        <v>2120.310392275565</v>
      </c>
      <c r="C37" s="62">
        <v>3275.090043564267</v>
      </c>
      <c r="D37" s="136">
        <v>136.03444994672333</v>
      </c>
    </row>
    <row r="38" spans="1:4" ht="12.75">
      <c r="A38">
        <f t="shared" si="0"/>
        <v>34</v>
      </c>
      <c r="B38" s="62">
        <v>2091.369957683703</v>
      </c>
      <c r="C38" s="62">
        <v>3261.3047031700603</v>
      </c>
      <c r="D38" s="136">
        <v>135.72534121036293</v>
      </c>
    </row>
    <row r="39" spans="1:4" ht="12.75">
      <c r="A39">
        <f t="shared" si="0"/>
        <v>35</v>
      </c>
      <c r="B39" s="62">
        <v>2082.7998191337383</v>
      </c>
      <c r="C39" s="62">
        <v>3260.410941425785</v>
      </c>
      <c r="D39" s="136">
        <v>135.52983175191113</v>
      </c>
    </row>
    <row r="40" spans="1:4" ht="12.75">
      <c r="A40">
        <f t="shared" si="0"/>
        <v>36</v>
      </c>
      <c r="B40" s="62">
        <v>2068.8202503992807</v>
      </c>
      <c r="C40" s="62">
        <v>3252.714278437436</v>
      </c>
      <c r="D40" s="136">
        <v>136.42747551529075</v>
      </c>
    </row>
    <row r="41" spans="1:4" ht="12.75">
      <c r="A41">
        <f t="shared" si="0"/>
        <v>37</v>
      </c>
      <c r="B41" s="62">
        <v>2074.441559857916</v>
      </c>
      <c r="C41" s="62">
        <v>3225.210069908957</v>
      </c>
      <c r="D41" s="136">
        <v>136.4569520194138</v>
      </c>
    </row>
    <row r="42" spans="1:4" ht="12.75">
      <c r="A42">
        <f t="shared" si="0"/>
        <v>38</v>
      </c>
      <c r="B42" s="62">
        <v>2070.2967275717083</v>
      </c>
      <c r="C42" s="62">
        <v>3222.0904897994433</v>
      </c>
      <c r="D42" s="136">
        <v>136.73472582302435</v>
      </c>
    </row>
    <row r="43" spans="1:4" ht="12.75">
      <c r="A43">
        <f t="shared" si="0"/>
        <v>39</v>
      </c>
      <c r="B43" s="62">
        <v>2073.455588874567</v>
      </c>
      <c r="C43" s="62">
        <v>3213.881214835122</v>
      </c>
      <c r="D43" s="136">
        <v>136.4767815943754</v>
      </c>
    </row>
    <row r="44" spans="1:4" ht="12.75">
      <c r="A44">
        <f t="shared" si="0"/>
        <v>40</v>
      </c>
      <c r="B44" s="62">
        <v>2090.154723811384</v>
      </c>
      <c r="C44" s="62">
        <v>3221.6980674088923</v>
      </c>
      <c r="D44" s="136">
        <v>135.92594972256614</v>
      </c>
    </row>
    <row r="45" spans="1:4" ht="12.75">
      <c r="A45">
        <f t="shared" si="0"/>
        <v>41</v>
      </c>
      <c r="B45" s="62">
        <v>2118.3920999328225</v>
      </c>
      <c r="C45" s="62">
        <v>3226.9974592903827</v>
      </c>
      <c r="D45" s="136">
        <v>135.7054156249882</v>
      </c>
    </row>
    <row r="46" spans="1:4" ht="12.75">
      <c r="A46">
        <f t="shared" si="0"/>
        <v>42</v>
      </c>
      <c r="B46" s="62">
        <v>2120.7149604495735</v>
      </c>
      <c r="C46" s="62">
        <v>3204.621602920605</v>
      </c>
      <c r="D46" s="136">
        <v>135.50516756547276</v>
      </c>
    </row>
    <row r="47" spans="1:4" ht="12.75">
      <c r="A47">
        <f t="shared" si="0"/>
        <v>43</v>
      </c>
      <c r="B47" s="62">
        <v>2074.7815400725485</v>
      </c>
      <c r="C47" s="62">
        <v>3186.1263454754217</v>
      </c>
      <c r="D47" s="136">
        <v>136.1251518811614</v>
      </c>
    </row>
    <row r="48" spans="1:4" ht="12.75">
      <c r="A48">
        <f t="shared" si="0"/>
        <v>44</v>
      </c>
      <c r="B48" s="62">
        <v>2031.9452709775728</v>
      </c>
      <c r="C48" s="62">
        <v>3169.9400032115514</v>
      </c>
      <c r="D48" s="136">
        <v>136.73375191492232</v>
      </c>
    </row>
    <row r="49" spans="1:4" ht="12.75">
      <c r="A49">
        <f t="shared" si="0"/>
        <v>45</v>
      </c>
      <c r="B49" s="62">
        <v>1975.6878953901874</v>
      </c>
      <c r="C49" s="62">
        <v>3160.504096527388</v>
      </c>
      <c r="D49" s="136">
        <v>138.42492961557397</v>
      </c>
    </row>
    <row r="50" spans="1:4" ht="12.75">
      <c r="A50">
        <f t="shared" si="0"/>
        <v>46</v>
      </c>
      <c r="B50" s="62">
        <v>1981.8711050169288</v>
      </c>
      <c r="C50" s="62">
        <v>3223.738509940902</v>
      </c>
      <c r="D50" s="136">
        <v>140.20408850945756</v>
      </c>
    </row>
    <row r="51" spans="1:4" ht="12.75">
      <c r="A51">
        <f t="shared" si="0"/>
        <v>47</v>
      </c>
      <c r="B51" s="62">
        <v>1937.682328939657</v>
      </c>
      <c r="C51" s="62">
        <v>3233.4593822539186</v>
      </c>
      <c r="D51" s="136">
        <v>143.4253409795514</v>
      </c>
    </row>
    <row r="52" spans="1:4" ht="12.75">
      <c r="A52">
        <f t="shared" si="0"/>
        <v>48</v>
      </c>
      <c r="B52" s="62">
        <v>1989.4424116377386</v>
      </c>
      <c r="C52" s="62">
        <v>3268.0786639355724</v>
      </c>
      <c r="D52" s="136">
        <v>138.8456253129226</v>
      </c>
    </row>
    <row r="53" spans="1:4" ht="12.75">
      <c r="A53">
        <f t="shared" si="0"/>
        <v>49</v>
      </c>
      <c r="B53" s="62">
        <v>2015.4775875440698</v>
      </c>
      <c r="C53" s="62">
        <v>3229.0390879715083</v>
      </c>
      <c r="D53" s="136">
        <v>138.36504499515794</v>
      </c>
    </row>
    <row r="54" spans="1:4" ht="12.75">
      <c r="A54">
        <f t="shared" si="0"/>
        <v>50</v>
      </c>
      <c r="B54" s="94">
        <v>2205.8781451030954</v>
      </c>
      <c r="C54" s="94">
        <v>3291.623536342873</v>
      </c>
      <c r="D54" s="135">
        <v>137.44559316378732</v>
      </c>
    </row>
    <row r="55" spans="1:4" ht="12.75">
      <c r="A55">
        <f t="shared" si="0"/>
        <v>51</v>
      </c>
      <c r="B55" s="62">
        <v>2214.1724851091994</v>
      </c>
      <c r="C55" s="62">
        <v>3322.9652463143157</v>
      </c>
      <c r="D55" s="136">
        <v>136.51583260576268</v>
      </c>
    </row>
    <row r="56" spans="1:4" ht="12.75">
      <c r="A56">
        <f t="shared" si="0"/>
        <v>52</v>
      </c>
      <c r="B56" s="62">
        <v>2187.9134975633942</v>
      </c>
      <c r="C56" s="62">
        <v>3352.1552243005676</v>
      </c>
      <c r="D56" s="136">
        <v>138.37385220369285</v>
      </c>
    </row>
    <row r="57" spans="1:4" ht="12.75">
      <c r="A57">
        <f t="shared" si="0"/>
        <v>53</v>
      </c>
      <c r="B57" s="62">
        <v>2159.151639840219</v>
      </c>
      <c r="C57" s="62">
        <v>3340.140245421438</v>
      </c>
      <c r="D57" s="136">
        <v>139.30661497063693</v>
      </c>
    </row>
    <row r="58" spans="1:4" ht="12.75">
      <c r="A58">
        <f t="shared" si="0"/>
        <v>54</v>
      </c>
      <c r="B58" s="62">
        <v>2157.401206981397</v>
      </c>
      <c r="C58" s="62">
        <v>3308.844737707377</v>
      </c>
      <c r="D58" s="136">
        <v>138.92429184937365</v>
      </c>
    </row>
    <row r="59" spans="1:4" ht="12.75">
      <c r="A59">
        <f t="shared" si="0"/>
        <v>55</v>
      </c>
      <c r="B59" s="62">
        <v>2149.4680619487076</v>
      </c>
      <c r="C59" s="62">
        <v>3258.424034400361</v>
      </c>
      <c r="D59" s="136">
        <v>137.0789088989844</v>
      </c>
    </row>
    <row r="60" spans="1:4" ht="12.75">
      <c r="A60">
        <f t="shared" si="0"/>
        <v>56</v>
      </c>
      <c r="B60" s="62">
        <v>2161.5999619201234</v>
      </c>
      <c r="C60" s="62">
        <v>3242.334880632321</v>
      </c>
      <c r="D60" s="136">
        <v>136.5685958286083</v>
      </c>
    </row>
    <row r="61" spans="1:4" ht="12.75">
      <c r="A61">
        <f t="shared" si="0"/>
        <v>57</v>
      </c>
      <c r="B61" s="62">
        <v>2152.0842201723785</v>
      </c>
      <c r="C61" s="62">
        <v>3207.648136504303</v>
      </c>
      <c r="D61" s="136">
        <v>135.5889347816187</v>
      </c>
    </row>
    <row r="62" spans="1:4" ht="12.75">
      <c r="A62">
        <f t="shared" si="0"/>
        <v>58</v>
      </c>
      <c r="B62" s="62">
        <v>2173.8847315282183</v>
      </c>
      <c r="C62" s="62">
        <v>3197.278661357262</v>
      </c>
      <c r="D62" s="136">
        <v>135.51054786520936</v>
      </c>
    </row>
    <row r="63" spans="1:4" ht="12.75">
      <c r="A63">
        <f t="shared" si="0"/>
        <v>59</v>
      </c>
      <c r="B63" s="62">
        <v>2175.629616604263</v>
      </c>
      <c r="C63" s="62">
        <v>3200.874576887203</v>
      </c>
      <c r="D63" s="136">
        <v>135.68040646001072</v>
      </c>
    </row>
    <row r="64" spans="1:4" ht="12.75">
      <c r="A64">
        <f t="shared" si="0"/>
        <v>60</v>
      </c>
      <c r="B64" s="62">
        <v>2185.29987086097</v>
      </c>
      <c r="C64" s="62">
        <v>3231.149732603033</v>
      </c>
      <c r="D64" s="136">
        <v>137.29170632089352</v>
      </c>
    </row>
    <row r="65" spans="1:4" ht="12.75">
      <c r="A65">
        <f t="shared" si="0"/>
        <v>61</v>
      </c>
      <c r="B65" s="62">
        <v>2186.5661142484623</v>
      </c>
      <c r="C65" s="62">
        <v>3277.448485319777</v>
      </c>
      <c r="D65" s="136">
        <v>136.91137425974694</v>
      </c>
    </row>
    <row r="66" spans="1:4" ht="12.75">
      <c r="A66">
        <f t="shared" si="0"/>
        <v>62</v>
      </c>
      <c r="B66" s="62">
        <v>2234.082870307836</v>
      </c>
      <c r="C66" s="62">
        <v>3279.32212193178</v>
      </c>
      <c r="D66" s="136">
        <v>135.77968143016102</v>
      </c>
    </row>
    <row r="67" spans="1:4" ht="12.75">
      <c r="A67">
        <f t="shared" si="0"/>
        <v>63</v>
      </c>
      <c r="B67" s="62">
        <v>2252.9524619754243</v>
      </c>
      <c r="C67" s="62">
        <v>3240.3296073455417</v>
      </c>
      <c r="D67" s="136">
        <v>136.47983700887417</v>
      </c>
    </row>
    <row r="68" spans="1:4" ht="12.75">
      <c r="A68">
        <f t="shared" si="0"/>
        <v>64</v>
      </c>
      <c r="B68" s="62">
        <v>2227.9976548945397</v>
      </c>
      <c r="C68" s="62">
        <v>3233.49669080567</v>
      </c>
      <c r="D68" s="136">
        <v>136.0176778350875</v>
      </c>
    </row>
    <row r="69" spans="1:4" ht="12.75">
      <c r="A69">
        <f t="shared" si="0"/>
        <v>65</v>
      </c>
      <c r="B69" s="62">
        <v>2223.473606106018</v>
      </c>
      <c r="C69" s="62">
        <v>3241.5903272781043</v>
      </c>
      <c r="D69" s="136">
        <v>135.7289633165514</v>
      </c>
    </row>
    <row r="70" spans="1:4" ht="12.75">
      <c r="A70">
        <f t="shared" si="0"/>
        <v>66</v>
      </c>
      <c r="B70" s="62">
        <v>2211.541904424187</v>
      </c>
      <c r="C70" s="62">
        <v>3204.0827236052864</v>
      </c>
      <c r="D70" s="136">
        <v>135.5292772966058</v>
      </c>
    </row>
    <row r="71" spans="1:4" ht="12.75">
      <c r="A71">
        <f aca="true" t="shared" si="1" ref="A71:A91">A70+1</f>
        <v>67</v>
      </c>
      <c r="B71" s="62">
        <v>2200.3622330515295</v>
      </c>
      <c r="C71" s="62">
        <v>3187.5443682408954</v>
      </c>
      <c r="D71" s="136">
        <v>135.4898792905712</v>
      </c>
    </row>
    <row r="72" spans="1:4" ht="12.75">
      <c r="A72">
        <f t="shared" si="1"/>
        <v>68</v>
      </c>
      <c r="B72" s="62">
        <v>2227.393779158199</v>
      </c>
      <c r="C72" s="62">
        <v>3167.8318241200373</v>
      </c>
      <c r="D72" s="136">
        <v>135.61962742093016</v>
      </c>
    </row>
    <row r="73" spans="1:4" ht="12.75">
      <c r="A73">
        <f t="shared" si="1"/>
        <v>69</v>
      </c>
      <c r="B73" s="62">
        <v>2237.9848736898794</v>
      </c>
      <c r="C73" s="62">
        <v>3190.574196710057</v>
      </c>
      <c r="D73" s="136">
        <v>136.3499125705445</v>
      </c>
    </row>
    <row r="74" spans="1:4" ht="12.75">
      <c r="A74">
        <f t="shared" si="1"/>
        <v>70</v>
      </c>
      <c r="B74" s="62">
        <v>2263.372131886268</v>
      </c>
      <c r="C74" s="62">
        <v>3199.9685246543804</v>
      </c>
      <c r="D74" s="136">
        <v>136.6200493406604</v>
      </c>
    </row>
    <row r="75" spans="1:4" ht="12.75">
      <c r="A75">
        <f t="shared" si="1"/>
        <v>71</v>
      </c>
      <c r="B75" s="62">
        <v>2257.4146171461007</v>
      </c>
      <c r="C75" s="62">
        <v>3151.8773407489543</v>
      </c>
      <c r="D75" s="136">
        <v>136.0703596568521</v>
      </c>
    </row>
    <row r="76" spans="1:4" ht="12.75">
      <c r="A76">
        <f t="shared" si="1"/>
        <v>72</v>
      </c>
      <c r="B76" s="62">
        <v>2255.683647932985</v>
      </c>
      <c r="C76" s="62">
        <v>3142.6665144713393</v>
      </c>
      <c r="D76" s="136">
        <v>136.46625428824717</v>
      </c>
    </row>
    <row r="77" spans="1:4" ht="12.75">
      <c r="A77">
        <f t="shared" si="1"/>
        <v>73</v>
      </c>
      <c r="B77" s="62">
        <v>2300.4464746860367</v>
      </c>
      <c r="C77" s="62">
        <v>3129.769965759458</v>
      </c>
      <c r="D77" s="136">
        <v>136.03939582964762</v>
      </c>
    </row>
    <row r="78" spans="1:4" ht="12.75">
      <c r="A78">
        <f t="shared" si="1"/>
        <v>74</v>
      </c>
      <c r="B78" s="62">
        <v>2305.2462830843338</v>
      </c>
      <c r="C78" s="62">
        <v>3109.7895220841774</v>
      </c>
      <c r="D78" s="136">
        <v>136.36975171930663</v>
      </c>
    </row>
    <row r="79" spans="1:4" ht="12.75">
      <c r="A79">
        <f t="shared" si="1"/>
        <v>75</v>
      </c>
      <c r="B79" s="62">
        <v>2302.3200940361025</v>
      </c>
      <c r="C79" s="62">
        <v>3105.334045265213</v>
      </c>
      <c r="D79" s="136">
        <v>136.3781862554907</v>
      </c>
    </row>
    <row r="80" spans="1:4" ht="12.75">
      <c r="A80">
        <f t="shared" si="1"/>
        <v>76</v>
      </c>
      <c r="B80" s="62">
        <v>2293.9626140794303</v>
      </c>
      <c r="C80" s="62">
        <v>3106.3716404748375</v>
      </c>
      <c r="D80" s="136">
        <v>135.84109080505752</v>
      </c>
    </row>
    <row r="81" spans="1:4" ht="12.75">
      <c r="A81">
        <f t="shared" si="1"/>
        <v>77</v>
      </c>
      <c r="B81" s="62">
        <v>2284.8601047109664</v>
      </c>
      <c r="C81" s="62">
        <v>3103.6841972513894</v>
      </c>
      <c r="D81" s="136">
        <v>135.00000552234528</v>
      </c>
    </row>
    <row r="82" spans="1:4" ht="12.75">
      <c r="A82">
        <f t="shared" si="1"/>
        <v>78</v>
      </c>
      <c r="B82" s="62">
        <v>2290.2767633274566</v>
      </c>
      <c r="C82" s="62">
        <v>3084.3007251391714</v>
      </c>
      <c r="D82" s="136">
        <v>134.69972950270105</v>
      </c>
    </row>
    <row r="83" spans="1:4" ht="12.75">
      <c r="A83">
        <f t="shared" si="1"/>
        <v>79</v>
      </c>
      <c r="B83" s="62">
        <v>2250.696567731765</v>
      </c>
      <c r="C83" s="62">
        <v>3065.9489065574917</v>
      </c>
      <c r="D83" s="136">
        <v>133.0417737468099</v>
      </c>
    </row>
    <row r="84" spans="1:4" ht="12.75">
      <c r="A84">
        <f t="shared" si="1"/>
        <v>80</v>
      </c>
      <c r="B84" s="62">
        <v>2226.3892038345894</v>
      </c>
      <c r="C84" s="62">
        <v>3059.6156294796715</v>
      </c>
      <c r="D84" s="136">
        <v>130.98489735758312</v>
      </c>
    </row>
    <row r="85" spans="1:4" ht="12.75">
      <c r="A85">
        <f t="shared" si="1"/>
        <v>81</v>
      </c>
      <c r="B85" s="62">
        <v>2191.1990756394316</v>
      </c>
      <c r="C85" s="62">
        <v>3071.9797260993073</v>
      </c>
      <c r="D85" s="136">
        <v>130.9643374255407</v>
      </c>
    </row>
    <row r="86" spans="1:4" ht="12.75">
      <c r="A86">
        <f t="shared" si="1"/>
        <v>82</v>
      </c>
      <c r="B86" s="62">
        <v>2208.266634113736</v>
      </c>
      <c r="C86" s="62">
        <v>3084.2064911238895</v>
      </c>
      <c r="D86" s="136">
        <v>133.0815092315042</v>
      </c>
    </row>
    <row r="87" spans="1:4" ht="12.75">
      <c r="A87">
        <f t="shared" si="1"/>
        <v>83</v>
      </c>
      <c r="B87" s="62">
        <v>2183.915230544612</v>
      </c>
      <c r="C87" s="62">
        <v>3095.533270375945</v>
      </c>
      <c r="D87" s="136">
        <v>133.11949696173133</v>
      </c>
    </row>
    <row r="88" spans="1:4" ht="12.75">
      <c r="A88">
        <f t="shared" si="1"/>
        <v>84</v>
      </c>
      <c r="B88" s="62">
        <v>2173.094317610073</v>
      </c>
      <c r="C88" s="62">
        <v>3141.152527288923</v>
      </c>
      <c r="D88" s="136">
        <v>133.94078375414426</v>
      </c>
    </row>
    <row r="89" spans="1:4" ht="12.75">
      <c r="A89">
        <f t="shared" si="1"/>
        <v>85</v>
      </c>
      <c r="B89" s="62">
        <v>2164.368762251232</v>
      </c>
      <c r="C89" s="62">
        <v>3182.79168800024</v>
      </c>
      <c r="D89" s="136">
        <v>134.92021679762036</v>
      </c>
    </row>
    <row r="90" spans="1:4" ht="12.75">
      <c r="A90">
        <f t="shared" si="1"/>
        <v>86</v>
      </c>
      <c r="B90" s="62">
        <v>2202.4850898096283</v>
      </c>
      <c r="C90" s="62">
        <v>3165.8993380363854</v>
      </c>
      <c r="D90" s="136">
        <v>134.99973049186727</v>
      </c>
    </row>
    <row r="91" spans="1:4" ht="12.75">
      <c r="A91">
        <f t="shared" si="1"/>
        <v>87</v>
      </c>
      <c r="B91" s="62">
        <v>2199.454523220761</v>
      </c>
      <c r="C91" s="62">
        <v>3148.586405039732</v>
      </c>
      <c r="D91" s="136">
        <v>134.12143080535043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2009-11-10T09:00:55Z</cp:lastPrinted>
  <dcterms:created xsi:type="dcterms:W3CDTF">1996-10-14T23:33:28Z</dcterms:created>
  <dcterms:modified xsi:type="dcterms:W3CDTF">2014-08-15T14:41:32Z</dcterms:modified>
  <cp:category/>
  <cp:version/>
  <cp:contentType/>
  <cp:contentStatus/>
</cp:coreProperties>
</file>